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xl/persons/person.xml" ContentType="application/vnd.ms-excel.person+xml"/>
  <Override PartName="/xl/threadedComments/threadedComment1.xml" ContentType="application/vnd.ms-excel.threadedcomments+xml"/>
  <Override PartName="/customXml/itemProps5.xml" ContentType="application/vnd.openxmlformats-officedocument.customXmlProperties+xml"/>
  <Override PartName="/customXml/itemProps4.xml" ContentType="application/vnd.openxmlformats-officedocument.customXm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6.xml" ContentType="application/vnd.openxmlformats-officedocument.customXmlProperties+xml"/>
  <Override PartName="/docProps/custom.xml" ContentType="application/vnd.openxmlformats-officedocument.custom-properties+xml"/>
  <Override PartName="/customXml/itemProps7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gcz-my.sharepoint.com/personal/kberank1_ds_kb_cz/Documents/4. PRACOVNÍ MPSS+KB/Kalkulačka DP/Verze 12/"/>
    </mc:Choice>
  </mc:AlternateContent>
  <xr:revisionPtr revIDLastSave="0" documentId="8_{D24C950B-0A22-48A8-99C0-5DCBDAEE3EF9}" xr6:coauthVersionLast="47" xr6:coauthVersionMax="47" xr10:uidLastSave="{00000000-0000-0000-0000-000000000000}"/>
  <bookViews>
    <workbookView showSheetTabs="0" xWindow="-108" yWindow="-108" windowWidth="23256" windowHeight="13896" xr2:uid="{00000000-000D-0000-FFFF-FFFF00000000}"/>
  </bookViews>
  <sheets>
    <sheet name="vstupni_data" sheetId="10" r:id="rId1"/>
    <sheet name="SS" sheetId="6" state="veryHidden" r:id="rId2"/>
    <sheet name="HI" sheetId="8" state="veryHidden" r:id="rId3"/>
    <sheet name="Dan" sheetId="9" state="veryHidden" r:id="rId4"/>
    <sheet name="cinnosti" sheetId="4" state="veryHidden" r:id="rId5"/>
    <sheet name="prijmy" sheetId="7" state="veryHidden" r:id="rId6"/>
    <sheet name="tisk" sheetId="3" state="veryHidden" r:id="rId7"/>
  </sheets>
  <definedNames>
    <definedName name="_101">vstupni_data!$T$31</definedName>
    <definedName name="_102">vstupni_data!$T$32</definedName>
    <definedName name="_102mod">vstupni_data!$R$32</definedName>
    <definedName name="_104">vstupni_data!$T$33</definedName>
    <definedName name="_104mod">vstupni_data!$R$33</definedName>
    <definedName name="_104mol">#REF!</definedName>
    <definedName name="_105">vstupni_data!$T$34</definedName>
    <definedName name="_106">vstupni_data!$T$35</definedName>
    <definedName name="_107">vstupni_data!$T$36</definedName>
    <definedName name="_108">vstupni_data!$T$37</definedName>
    <definedName name="_109">vstupni_data!$T$38</definedName>
    <definedName name="_110">vstupni_data!$T$39</definedName>
    <definedName name="_31">vstupni_data!$T$23</definedName>
    <definedName name="_37">vstupni_data!$T$25</definedName>
    <definedName name="_38">vstupni_data!$T$26</definedName>
    <definedName name="_39">vstupni_data!$T$27</definedName>
    <definedName name="_44">vstupni_data!$T$28</definedName>
    <definedName name="_46">vstupni_data!$T$42</definedName>
    <definedName name="_47">vstupni_data!$T$43</definedName>
    <definedName name="_48">vstupni_data!$T$44</definedName>
    <definedName name="_49">vstupni_data!$T$45</definedName>
    <definedName name="_50">vstupni_data!$T$46</definedName>
    <definedName name="_51">vstupni_data!$T$47</definedName>
    <definedName name="_52">vstupni_data!$T$48</definedName>
    <definedName name="_52a">vstupni_data!#REF!</definedName>
    <definedName name="_53">vstupni_data!$T$49</definedName>
    <definedName name="_64">vstupni_data!$T$52</definedName>
    <definedName name="_65a">vstupni_data!$T$53</definedName>
    <definedName name="_65b">vstupni_data!$T$54</definedName>
    <definedName name="_66">vstupni_data!$T$55</definedName>
    <definedName name="_67">vstupni_data!$T$56</definedName>
    <definedName name="_68">vstupni_data!$T$57</definedName>
    <definedName name="_69">vstupni_data!$T$58</definedName>
    <definedName name="_69a">vstupni_data!$T$59</definedName>
    <definedName name="_69b">vstupni_data!$T$60</definedName>
    <definedName name="_72">vstupni_data!$T$61</definedName>
    <definedName name="_OP1">tisk!$L$105</definedName>
    <definedName name="_OP1_">vstupni_data!$R$99</definedName>
    <definedName name="_PZP1">tisk!$L$103</definedName>
    <definedName name="_PZP1_">vstupni_data!$R$97</definedName>
    <definedName name="_PZZ1">tisk!$L$101</definedName>
    <definedName name="_PZZ1_">vstupni_data!$R$95</definedName>
    <definedName name="NACE">cinnosti!$A$38:$A$121</definedName>
    <definedName name="NACE_MOD_KB">cinnosti!$A$2:$A$32</definedName>
    <definedName name="NACE_NULL">cinnosti!$D$1</definedName>
    <definedName name="prumer">vstupni_data!$T$19</definedName>
  </definedName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2" i="10" l="1"/>
  <c r="R32" i="10" l="1"/>
  <c r="R12" i="10"/>
  <c r="T12" i="10" l="1"/>
  <c r="B59" i="3"/>
  <c r="R33" i="10" l="1"/>
  <c r="B66" i="10"/>
  <c r="B104" i="10"/>
  <c r="F104" i="10" s="1"/>
  <c r="B11" i="8"/>
  <c r="B64" i="10"/>
  <c r="E8" i="6" s="1"/>
  <c r="B8" i="6" s="1"/>
  <c r="D5" i="4"/>
  <c r="D6" i="4" s="1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4" i="4"/>
  <c r="C33" i="6"/>
  <c r="C34" i="6" s="1"/>
  <c r="C31" i="6"/>
  <c r="C30" i="6" s="1"/>
  <c r="F102" i="10"/>
  <c r="B102" i="10" s="1"/>
  <c r="N8" i="3"/>
  <c r="C10" i="9" a="1"/>
  <c r="C10" i="9" s="1"/>
  <c r="B97" i="3"/>
  <c r="F94" i="3"/>
  <c r="B94" i="3"/>
  <c r="B91" i="3"/>
  <c r="B89" i="3"/>
  <c r="B86" i="3"/>
  <c r="B84" i="3"/>
  <c r="B80" i="3"/>
  <c r="B77" i="3"/>
  <c r="B75" i="3"/>
  <c r="B73" i="3"/>
  <c r="B71" i="3"/>
  <c r="B69" i="3"/>
  <c r="B67" i="3"/>
  <c r="J56" i="3"/>
  <c r="B56" i="3"/>
  <c r="B54" i="3"/>
  <c r="J49" i="3"/>
  <c r="J2" i="3"/>
  <c r="L97" i="3"/>
  <c r="B62" i="3"/>
  <c r="C21" i="7"/>
  <c r="C15" i="7"/>
  <c r="C39" i="9"/>
  <c r="C27" i="9"/>
  <c r="C3" i="9"/>
  <c r="C18" i="9" s="1"/>
  <c r="B9" i="8"/>
  <c r="C3" i="7"/>
  <c r="L101" i="3" s="1"/>
  <c r="B16" i="6"/>
  <c r="B6" i="6"/>
  <c r="N5" i="3"/>
  <c r="B107" i="3"/>
  <c r="N47" i="3"/>
  <c r="N46" i="3"/>
  <c r="N45" i="3"/>
  <c r="N44" i="3"/>
  <c r="N43" i="3"/>
  <c r="N42" i="3"/>
  <c r="N41" i="3"/>
  <c r="N40" i="3"/>
  <c r="N39" i="3"/>
  <c r="N38" i="3"/>
  <c r="N35" i="3"/>
  <c r="N34" i="3"/>
  <c r="N33" i="3"/>
  <c r="N32" i="3"/>
  <c r="N31" i="3"/>
  <c r="N30" i="3"/>
  <c r="N29" i="3"/>
  <c r="N28" i="3"/>
  <c r="N27" i="3"/>
  <c r="N24" i="3"/>
  <c r="N23" i="3"/>
  <c r="N22" i="3"/>
  <c r="N21" i="3"/>
  <c r="N20" i="3"/>
  <c r="N19" i="3"/>
  <c r="N18" i="3"/>
  <c r="M18" i="3"/>
  <c r="N17" i="3"/>
  <c r="M17" i="3"/>
  <c r="N16" i="3"/>
  <c r="N13" i="3"/>
  <c r="N12" i="3"/>
  <c r="N11" i="3"/>
  <c r="N10" i="3"/>
  <c r="B82" i="3" l="1"/>
  <c r="E6" i="8"/>
  <c r="B6" i="8" s="1"/>
  <c r="B13" i="8" s="1"/>
  <c r="B15" i="8" s="1"/>
  <c r="C7" i="7"/>
  <c r="C4" i="9"/>
  <c r="C5" i="9" s="1"/>
  <c r="C7" i="9"/>
  <c r="C43" i="9" s="1"/>
  <c r="B65" i="3"/>
  <c r="N97" i="3"/>
  <c r="R95" i="10"/>
  <c r="C47" i="9"/>
  <c r="C35" i="9" s="1"/>
  <c r="F62" i="3"/>
  <c r="F59" i="3"/>
  <c r="B10" i="6" l="1"/>
  <c r="B12" i="6" s="1"/>
  <c r="B14" i="6" s="1"/>
  <c r="B18" i="6" s="1"/>
  <c r="C40" i="9"/>
  <c r="C28" i="9" s="1"/>
  <c r="C29" i="9" s="1"/>
  <c r="C31" i="9" s="1"/>
  <c r="C32" i="9" s="1"/>
  <c r="C34" i="9" s="1"/>
  <c r="C36" i="9" s="1"/>
  <c r="C16" i="7" s="1"/>
  <c r="C17" i="7" s="1"/>
  <c r="C8" i="9"/>
  <c r="C11" i="9" s="1"/>
  <c r="L17" i="3"/>
  <c r="L18" i="3"/>
  <c r="B17" i="8"/>
  <c r="B19" i="8" s="1"/>
  <c r="B21" i="8" s="1"/>
  <c r="C9" i="7" s="1"/>
  <c r="B20" i="6" l="1"/>
  <c r="C41" i="9"/>
  <c r="C44" i="9" s="1"/>
  <c r="C46" i="9" s="1"/>
  <c r="C12" i="9"/>
  <c r="C13" i="9"/>
  <c r="B22" i="6" l="1"/>
  <c r="C8" i="7" s="1"/>
  <c r="C14" i="9"/>
  <c r="C16" i="9"/>
  <c r="C17" i="9" l="1"/>
  <c r="C19" i="9" s="1"/>
  <c r="C10" i="7" s="1"/>
  <c r="C11" i="7" s="1"/>
  <c r="R97" i="10" s="1"/>
  <c r="C48" i="9" l="1"/>
  <c r="C22" i="7" s="1"/>
  <c r="C23" i="7" s="1"/>
  <c r="R99" i="10" s="1"/>
  <c r="T95" i="10" s="1"/>
  <c r="L103" i="3"/>
  <c r="L105" i="3" l="1"/>
  <c r="N101" i="3" s="1"/>
  <c r="T100" i="10"/>
  <c r="T97" i="10"/>
  <c r="N103" i="3" l="1"/>
  <c r="T99" i="10"/>
  <c r="N10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Holub Miroslav</author>
    <author>Uživatel Microsoft Office</author>
    <author>Stepankova Karolina</author>
  </authors>
  <commentList>
    <comment ref="T23" authorId="0" shapeId="0" xr:uid="{9285D319-23A0-4BFF-A00A-13B125920F23}">
      <text>
        <r>
          <rPr>
            <b/>
            <sz val="9"/>
            <color indexed="81"/>
            <rFont val="Tahoma"/>
            <family val="2"/>
            <charset val="238"/>
          </rPr>
          <t>Řádek 31</t>
        </r>
        <r>
          <rPr>
            <sz val="9"/>
            <color indexed="81"/>
            <rFont val="Tahoma"/>
            <family val="2"/>
            <charset val="238"/>
          </rPr>
          <t xml:space="preserve">
Napište svou hrubou roční mzdu. Údaje najdete na potvrzení ze mzdové účtárny. Pokud jste během roku změnili práci, požádejte o potvrzení i předchozího zaměstnavatele.</t>
        </r>
      </text>
    </comment>
    <comment ref="T25" authorId="0" shapeId="0" xr:uid="{7006879B-5270-401C-A045-86E9AAF590F2}">
      <text>
        <r>
          <rPr>
            <b/>
            <sz val="9"/>
            <color indexed="81"/>
            <rFont val="Tahoma"/>
            <family val="2"/>
            <charset val="238"/>
          </rPr>
          <t xml:space="preserve">Řádek 37
</t>
        </r>
        <r>
          <rPr>
            <sz val="9"/>
            <color indexed="81"/>
            <rFont val="Tahoma"/>
            <family val="2"/>
            <charset val="238"/>
          </rPr>
          <t>Sem se přenáší dílčí základ daně z podnikání a jiné samostatně výdělečné činnosti (k tomu slouží zvláštní příloha č.1.). Pokud nemáte žádné příjmy z podnikání kolonku ani žádnou přílohu nevyplňujte. Hodnota je buď kladná (zisk), nebo záporná (ztráta).</t>
        </r>
      </text>
    </comment>
    <comment ref="T27" authorId="0" shapeId="0" xr:uid="{3DE3A8CB-A226-4F23-A8B9-B0E5C1D6F83F}">
      <text>
        <r>
          <rPr>
            <b/>
            <sz val="9"/>
            <color indexed="81"/>
            <rFont val="Tahoma"/>
            <family val="2"/>
            <charset val="238"/>
          </rPr>
          <t xml:space="preserve">Řádek 39
</t>
        </r>
        <r>
          <rPr>
            <sz val="9"/>
            <color indexed="81"/>
            <rFont val="Tahoma"/>
            <family val="2"/>
            <charset val="238"/>
          </rPr>
          <t xml:space="preserve">viz příloha 2
</t>
        </r>
      </text>
    </comment>
    <comment ref="T31" authorId="0" shapeId="0" xr:uid="{B6D98EA9-9CCB-4B15-8A31-CE299076F9B5}">
      <text>
        <r>
          <rPr>
            <b/>
            <sz val="9"/>
            <color indexed="81"/>
            <rFont val="Tahoma"/>
            <family val="2"/>
            <charset val="238"/>
          </rPr>
          <t xml:space="preserve">Řádek 37
</t>
        </r>
        <r>
          <rPr>
            <sz val="9"/>
            <color indexed="81"/>
            <rFont val="Tahoma"/>
            <family val="2"/>
            <charset val="238"/>
          </rPr>
          <t>Sem se přenáší dílčí základ daně z podnikání a jiné samostatně výdělečné činnosti (k tomu slouží zvláštní příloha č.1.). Pokud nemáte žádné příjmy z podnikání kolonku ani žádnou přílohu nevyplňujte. Hodnota je buď kladná (zisk), nebo záporná (ztráta).</t>
        </r>
      </text>
    </comment>
    <comment ref="B38" authorId="1" shapeId="0" xr:uid="{00000000-0006-0000-0000-000001000000}">
      <text>
        <r>
          <rPr>
            <b/>
            <sz val="10"/>
            <color indexed="81"/>
            <rFont val="Calibri"/>
            <family val="2"/>
            <charset val="238"/>
          </rPr>
          <t>Údaje z DP se do tohoto pole zadávají pouze v případě, pokud osoba, která přerozděluje část příjmů nebo zisk je společně s žadatelem v aktivním obchodě.</t>
        </r>
      </text>
    </comment>
    <comment ref="B39" authorId="1" shapeId="0" xr:uid="{00000000-0006-0000-0000-000002000000}">
      <text>
        <r>
          <rPr>
            <b/>
            <sz val="10"/>
            <color indexed="81"/>
            <rFont val="Calibri"/>
            <family val="2"/>
            <charset val="238"/>
          </rPr>
          <t>Údaje z DP se do tohoto pole zadávají pouze v případě, pokud osoba, která přerozděluje část výdajů nebo ztrátu je společně s žadatelem v aktivním obchodě.</t>
        </r>
      </text>
    </comment>
    <comment ref="T42" authorId="0" shapeId="0" xr:uid="{53345A89-C73E-46EB-92BF-49AD3AE0273E}">
      <text>
        <r>
          <rPr>
            <b/>
            <sz val="9"/>
            <color indexed="81"/>
            <rFont val="Tahoma"/>
            <family val="2"/>
            <charset val="238"/>
          </rPr>
          <t xml:space="preserve">Hodnota daňově uznatelných darů
</t>
        </r>
        <r>
          <rPr>
            <sz val="9"/>
            <color indexed="81"/>
            <rFont val="Tahoma"/>
            <family val="2"/>
            <charset val="238"/>
          </rPr>
          <t>Vypočítává je § 15 odst. 1 zákona o daních z příjmů. Sem patří i dárcovství krve.
Úhrnná hodnota darů ve zdaňovacím období musí přesáhnout 2 % ze základu daně ř. 42 anebo činit alespoň 1 000 Kč.
Max. lze odečíst 15 % ze základu daně.</t>
        </r>
      </text>
    </comment>
    <comment ref="T43" authorId="0" shapeId="0" xr:uid="{DEDFDFEF-5389-45CD-B536-927DFEB6DB89}">
      <text>
        <r>
          <rPr>
            <b/>
            <sz val="9"/>
            <color indexed="81"/>
            <rFont val="Tahoma"/>
            <family val="2"/>
            <charset val="238"/>
          </rPr>
          <t xml:space="preserve">Úroky
</t>
        </r>
        <r>
          <rPr>
            <sz val="9"/>
            <color indexed="81"/>
            <rFont val="Tahoma"/>
            <family val="2"/>
            <charset val="238"/>
          </rPr>
          <t>Sem uveďte odpočet úroků z úvěru ze stavebního spoření nebo hypotečního úvěru, maximálně 300 000 ročně, resp. 25 000 měsíčně.</t>
        </r>
      </text>
    </comment>
    <comment ref="T44" authorId="0" shapeId="0" xr:uid="{8CEBAF9C-BAAD-47FD-8B65-A18693158044}">
      <text>
        <r>
          <rPr>
            <b/>
            <sz val="9"/>
            <color indexed="81"/>
            <rFont val="Tahoma"/>
            <family val="2"/>
            <charset val="238"/>
          </rPr>
          <t xml:space="preserve">Penzijní připojištění
</t>
        </r>
        <r>
          <rPr>
            <sz val="9"/>
            <color indexed="81"/>
            <rFont val="Tahoma"/>
            <family val="2"/>
            <charset val="238"/>
          </rPr>
          <t>Tento řádek obsahuje odpočet plateb příspěvků na penzijní připojištění se státním příspěvkem, maximálně 48 000 Kč v úhrnu za řádky 48 až 51 podle § 15 odst. 5 zákona.</t>
        </r>
      </text>
    </comment>
    <comment ref="T45" authorId="0" shapeId="0" xr:uid="{650AEA22-6ADC-4BFB-9448-B12B988ACDAD}">
      <text>
        <r>
          <rPr>
            <b/>
            <sz val="9"/>
            <color indexed="81"/>
            <rFont val="Tahoma"/>
            <family val="2"/>
            <charset val="238"/>
          </rPr>
          <t xml:space="preserve">Životní pojištění
</t>
        </r>
        <r>
          <rPr>
            <sz val="9"/>
            <color indexed="81"/>
            <rFont val="Tahoma"/>
            <family val="2"/>
            <charset val="238"/>
          </rPr>
          <t>Tento řádek obsahuje odpočet plateb na soukromé životní pojištění, maximálně 48 000 Kč v úhrnu za řádky 48 až 51 podle § 15 odst. 5 zákona.</t>
        </r>
      </text>
    </comment>
    <comment ref="T46" authorId="0" shapeId="0" xr:uid="{B7B9151E-646A-4C41-A162-EB5975E7E337}">
      <text>
        <r>
          <rPr>
            <b/>
            <sz val="9"/>
            <color indexed="81"/>
            <rFont val="Tahoma"/>
            <family val="2"/>
            <charset val="238"/>
          </rPr>
          <t xml:space="preserve">Dlouhodobý investiční produkt
</t>
        </r>
        <r>
          <rPr>
            <sz val="9"/>
            <color indexed="81"/>
            <rFont val="Tahoma"/>
            <family val="2"/>
            <charset val="238"/>
          </rPr>
          <t>Maximální částka, kterou lze odečíst za zdaňovací období 2024, činí 48 000 Kč v úhrnu za řádky 48 až 51 podle § 15 odst. 5 zákona.</t>
        </r>
      </text>
    </comment>
    <comment ref="T47" authorId="0" shapeId="0" xr:uid="{D80FC625-68EA-419D-85D8-951F1AE8D593}">
      <text>
        <r>
          <rPr>
            <b/>
            <sz val="9"/>
            <color indexed="81"/>
            <rFont val="Tahoma"/>
            <family val="2"/>
            <charset val="238"/>
          </rPr>
          <t xml:space="preserve">Pojištění dlouhodobé péče
</t>
        </r>
        <r>
          <rPr>
            <sz val="9"/>
            <color indexed="81"/>
            <rFont val="Tahoma"/>
            <family val="2"/>
            <charset val="238"/>
          </rPr>
          <t>Maximální částka, kterou lze odečíst za zdaňovací období 2024, činí 48 000 Kč v úhrnu za řádky 48 až 51 podle § 15 odst. 5 zákona.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T48" authorId="0" shapeId="0" xr:uid="{51B0E605-A931-4CE0-8153-5CFE8CB6FFB7}">
      <text>
        <r>
          <rPr>
            <b/>
            <sz val="9"/>
            <color indexed="81"/>
            <rFont val="Tahoma"/>
            <family val="2"/>
            <charset val="238"/>
          </rPr>
          <t xml:space="preserve">Výzkum a vývoj
</t>
        </r>
        <r>
          <rPr>
            <sz val="9"/>
            <color indexed="81"/>
            <rFont val="Tahoma"/>
            <family val="2"/>
            <charset val="238"/>
          </rPr>
          <t>Podnikatelé zde mohou odečíst náklady na výzkum a vývoj.</t>
        </r>
      </text>
    </comment>
    <comment ref="T49" authorId="0" shapeId="0" xr:uid="{0452DE14-B098-4457-9408-9CEA86C6EFD0}">
      <text>
        <r>
          <rPr>
            <b/>
            <sz val="9"/>
            <color indexed="81"/>
            <rFont val="Tahoma"/>
            <family val="2"/>
            <charset val="238"/>
          </rPr>
          <t xml:space="preserve">Podpora odborného vzdělávání
</t>
        </r>
        <r>
          <rPr>
            <sz val="9"/>
            <color indexed="81"/>
            <rFont val="Tahoma"/>
            <family val="2"/>
            <charset val="238"/>
          </rPr>
          <t>Uveďte uplatňovanou výši výdajů na podporu odborného vzdělávání.</t>
        </r>
      </text>
    </comment>
    <comment ref="B64" authorId="1" shapeId="0" xr:uid="{00000000-0006-0000-0000-000003000000}">
      <text>
        <r>
          <rPr>
            <b/>
            <sz val="10"/>
            <color indexed="81"/>
            <rFont val="Calibri"/>
            <family val="2"/>
            <charset val="238"/>
          </rPr>
          <t>Takový zaměstnanec, který odvádí nemocenské, respektive důchodové pojištění a jehož čistý měsíční příjem je vyšší než 4000 Kč.</t>
        </r>
      </text>
    </comment>
    <comment ref="B66" authorId="1" shapeId="0" xr:uid="{00000000-0006-0000-0000-000008000000}">
      <text>
        <r>
          <rPr>
            <b/>
            <sz val="10"/>
            <color indexed="81"/>
            <rFont val="Calibri"/>
            <family val="2"/>
            <charset val="238"/>
          </rPr>
          <t>Osoby, které jsou příjemci dávek nemocenského pojištění (s trvalým pobytem na území ČR, pokud nejsou zaměstnanci nebo OSVČ a není za ně plátcem pojistného stát).</t>
        </r>
      </text>
    </comment>
    <comment ref="B69" authorId="1" shapeId="0" xr:uid="{00000000-0006-0000-0000-000004000000}">
      <text>
        <r>
          <rPr>
            <b/>
            <sz val="10"/>
            <color indexed="81"/>
            <rFont val="Calibri"/>
            <family val="2"/>
            <charset val="238"/>
          </rPr>
          <t>Osoby, které jsou plně invalidní nebo které dosáhly věku potřebného pro nárok na starobní důchod.</t>
        </r>
      </text>
    </comment>
    <comment ref="B75" authorId="1" shapeId="0" xr:uid="{00000000-0006-0000-0000-000005000000}">
      <text>
        <r>
          <rPr>
            <b/>
            <sz val="10"/>
            <color indexed="81"/>
            <rFont val="Calibri"/>
            <family val="2"/>
            <charset val="238"/>
          </rPr>
          <t>Osoby pečující o osoby závislé na péči jiné osoby ve stupni II, III anebo stupni IV, příp. stupni I, pokud se jedná o dítě do 10 let věku.</t>
        </r>
      </text>
    </comment>
    <comment ref="B77" authorId="1" shapeId="0" xr:uid="{00000000-0006-0000-0000-000006000000}">
      <text>
        <r>
          <rPr>
            <b/>
            <sz val="10"/>
            <color indexed="81"/>
            <rFont val="Calibri"/>
            <family val="2"/>
            <charset val="238"/>
          </rPr>
          <t>Za nezaopatřené dítě dle zákona č. 117/1995 Sb., o státní sociální podpoře se považuje dítě do skončení povinné školní docházky, a poté, nejdéle však do 26. roku věku, jestliže:
a) se soustavně připravuje na budoucí povolání (§ 12 až 15), nebo
b) se nemůže soustavně připravovat na budoucí povolání nebo vykonávat výdělečnou činnost pro nemoc nebo úraz, anebo
c) z důvodu dlouhodobě nepříznivého zdravotního stavu je neschopno vykonávat soustavnou výdělečnou činnost. Posuzování zdravotního stavu pro účely tohoto zákona upravuje zákon upravující organizaci a provádění sociálního zabezpečení (§ 8 zákona č. 582/1991 Sb., ve znění pozdějších předpisů.)
Po skončení povinné školní docházky se do 18. roku věku považuje za nezaopatřené dítě také dítě, které je vedeno v evidenci krajské pobočky Úřadu práce jako uchazeč o zaměstnání a nemá nárok na podporu v nezaměstnanosti nebo podporu při rekvalifikaci.
Za nezaopatřené dítě nelze však považovat dítě, které je poživatelem invalidního důchodu z důchodového pojištění pro invaliditu třetího stupně.</t>
        </r>
      </text>
    </comment>
    <comment ref="B79" authorId="1" shapeId="0" xr:uid="{00000000-0006-0000-0000-000007000000}">
      <text>
        <r>
          <rPr>
            <b/>
            <sz val="9"/>
            <color indexed="81"/>
            <rFont val="Calibri"/>
            <family val="2"/>
            <charset val="238"/>
          </rPr>
          <t xml:space="preserve">
Nezaopatřené děti; nezaopatřenost dítěte se posuzuje podle zákona o státní sociální podpoře
</t>
        </r>
      </text>
    </comment>
    <comment ref="B84" authorId="1" shapeId="0" xr:uid="{00000000-0006-0000-0000-000009000000}">
      <text>
        <r>
          <rPr>
            <b/>
            <sz val="10"/>
            <color indexed="81"/>
            <rFont val="Calibri"/>
            <family val="2"/>
            <charset val="238"/>
          </rPr>
          <t>Osoby, které jsou závislé na péči jiné osoby ve stupni II (středně těžká závislost) nebo stupni III (těžká závislost) nebo stupni IV (úplná závislost), a osoby pečující o tyto osoby, a osoby pečující o osoby mladší 10 let, které jsou závislé na péči jiné osoby ve stupni 1 (lehká závislost).</t>
        </r>
      </text>
    </comment>
    <comment ref="B86" authorId="1" shapeId="0" xr:uid="{00000000-0006-0000-0000-00000A000000}">
      <text>
        <r>
          <rPr>
            <b/>
            <sz val="10"/>
            <color indexed="81"/>
            <rFont val="Calibri"/>
            <family val="2"/>
            <charset val="238"/>
          </rPr>
          <t>Osoby, které jsou plně invalidní nebo které dosáhly věku potřebného pro nárok na starobní důchod, avšak nesplňují další podmínky pro přiznání plného invalidního nebo starobního důchodu a nemají příjmy ze zaměstnání, ze samostatné výdělečné činnosti a nepožívají žádný důchod z ciziny, nebo tento důchod nepřesahuje měsíčně částku ve výši minimální mzdy.</t>
        </r>
      </text>
    </comment>
    <comment ref="B91" authorId="2" shapeId="0" xr:uid="{890A30DC-0965-4BCD-BB64-273C26A2EA6D}">
      <text>
        <r>
          <rPr>
            <b/>
            <sz val="9"/>
            <color indexed="81"/>
            <rFont val="Calibri"/>
            <family val="2"/>
            <charset val="238"/>
            <scheme val="minor"/>
          </rPr>
          <t>Osoby celodenně osobně a řádně pečující alespoň o jedno dítě do sedmi let věku nebo nejméně o dvě děti do 15 let věku. Podmínka celodenní péče se považuje za splněnou i tehdy, je-li dítě předškolního věku umístěno v jeslích (mateřské škole), popřípadě v obdobném zařízení na dobu, která nepřevyšuje čtyři hodiny denně, a jde-li o dítě plnící povinnou školní docházku, po dobu návštěvy školy, s výjimkou umístění v zařízení s týdenním či celoročním pobytem. Za takové osoby se považuje vždy pouze jedna osoba, a to buď otec nebo matka dítěte, nebo osoba, která převzala dítě do trvalé péče nahrazující péči rodičů, pokud nemají příjmy ze zaměstnání nebo ze samostatné výdělečné činnosti.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tc={8A499C68-50A8-4BCB-89BD-F8E24451DAF9}</author>
    <author>tc={848CB1E7-AA8B-4052-A339-F8CFE8F5FE0F}</author>
  </authors>
  <commentList>
    <comment ref="B1" authorId="0" shapeId="0" xr:uid="{00000000-0006-0000-0600-000001000000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Zobrazené paušály v comboboxu !vstupni_data"B18"</t>
      </text>
    </comment>
    <comment ref="B37" authorId="1" shapeId="0" xr:uid="{848CB1E7-AA8B-4052-A339-F8CFE8F5FE0F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Zobrazené paušály v comboboxu !vstupni_data"B18"</t>
      </text>
    </comment>
  </commentList>
</comments>
</file>

<file path=xl/sharedStrings.xml><?xml version="1.0" encoding="utf-8"?>
<sst xmlns="http://schemas.openxmlformats.org/spreadsheetml/2006/main" count="390" uniqueCount="260">
  <si>
    <t>KBI ID</t>
  </si>
  <si>
    <t>Příjmení</t>
  </si>
  <si>
    <t>Jméno</t>
  </si>
  <si>
    <t>Uplatňuje výdaje paušálem?</t>
  </si>
  <si>
    <t>Uplatňuje - modifikované</t>
  </si>
  <si>
    <t xml:space="preserve">     Podléhá schválení metodické výjimky - nelze zpracovat standardním způsobem.</t>
  </si>
  <si>
    <t>Pokud požadujete modifikaci výdajů, pak vyberte jednu možnost ze seznamu</t>
  </si>
  <si>
    <t>Paušální výdaje</t>
  </si>
  <si>
    <t>Modifikované</t>
  </si>
  <si>
    <t>Individuální</t>
  </si>
  <si>
    <t>62 - Činnosti v oblasti informačních technologií</t>
  </si>
  <si>
    <t>Zadáváte daňové přiznání za rok 2018? (pouze tehdy zaškrtněte ANO)</t>
  </si>
  <si>
    <t>Průměrný čistý měsíční příjem (min. za poslední 3 měsíce) podle "Potvrzení o výši pracovního příjmu"</t>
  </si>
  <si>
    <t>2. ODDÍL - Dílčí základ daně, základ daně, ztráta</t>
  </si>
  <si>
    <t>Úhrn příjmů od všech zaměstnavatelů</t>
  </si>
  <si>
    <t>Dílčí základ daně nebo ztráta ze samostatné činnosti podle §7 zákona (ř. 113 přílohy č. 1 DAP)</t>
  </si>
  <si>
    <t>Dílčí základ daně z kapitálového majetku podle § 8 zákona</t>
  </si>
  <si>
    <t>Dílčí základ daně nebo ztráta z nájmu podle § 9 zákona (ř. 206 přílohy č. 2 DAP)</t>
  </si>
  <si>
    <t>Uplatňovaná výše ztráty - vzniklé a vyměřené za předcházející zdaňovací období</t>
  </si>
  <si>
    <t>PŘÍLOHA č. 1 - DAP</t>
  </si>
  <si>
    <t>Příjmy podle § 7 zákona</t>
  </si>
  <si>
    <t>Výdaje související s příjmy podle § 7 zákona</t>
  </si>
  <si>
    <t>Rozdíl mezi příjmy a výdaji nebo výsledek hospodaření (zisk, ztráta)</t>
  </si>
  <si>
    <t>Úhrn částek podle § 5, § 23 zákona a ostatní úpravy podle zákona zvyšující
- uveďte úhrn částek zvyšujících výsledek hospodaření nebo rozdíl mezi příjmy a výdaji.</t>
  </si>
  <si>
    <t>Úhrn částek podle § 5, § 23 zákona a ostatní úpravy podle zákona snižující
- uveďte úhrn částek snižujících výsledek hospodaření nebo rozdíl mezi příjmy a výdaji.</t>
  </si>
  <si>
    <t>Část příjmů nebo výsledku hospodaření před zdaněním (zisk), kterou rozdělujete na spolupracující osobu (osoby) podle § 13 zákona, , včetně člena rodiny zúčastněného na provozu rodinného závodu.</t>
  </si>
  <si>
    <t>Část výdajů nebo výsledku hospodaření před zdaněním (ztráta), kterou rozdělujete na spolupracující osobu (osoby) podle § 13 zákona, včetně člena rodiny zúčastněného na provozu rodinného závodu.</t>
  </si>
  <si>
    <t>Část příjmů nebo výsledku hospodaření před zdaněním (zisk), která připadla na Vás jako na spolupracující osobu podle § 13 zákona, včetně člena rodiny zúčastněného na provozu rodinného závodu.</t>
  </si>
  <si>
    <t>Část výdajů nebo výsledku hospodaření před zdaněním (ztráta), která připadla na Vás jako na spolupracující osobu podle § 13 zákona, včetně člena rodiny zúčastněného na provozu rodinného závodu.</t>
  </si>
  <si>
    <t>3. ODDÍL - Nezdanitelné části základu daně, odčitatelné položky a daň celkem</t>
  </si>
  <si>
    <t>§ 15 odst. 1 zákona (hodnota bezúplatného plnění – daru/
darů)</t>
  </si>
  <si>
    <t>§ 15 odst. 3 a 4 zákona (odečet úroků)</t>
  </si>
  <si>
    <t>§ 15a odst. 1 písm. a), b) a c) zákona (penzijní připojištění, doplňkové penzijní spoření a penzijní pojištění)</t>
  </si>
  <si>
    <t>§ 15a odst. 1 písm. d) zákona (soukromé životní pojištění)</t>
  </si>
  <si>
    <t>§ 15a odst. 1 písm. e) zákona (dlouhodobý investiční produkt)</t>
  </si>
  <si>
    <t>§ 15c zákona (pojištění dlouhodobé péče)</t>
  </si>
  <si>
    <t>§ 34 odst. 4 zákona (výzkum a vývoj)</t>
  </si>
  <si>
    <t>§ 34 odst. 4 (odpočet na podporu odborného vzdělávání)</t>
  </si>
  <si>
    <t xml:space="preserve">5. ODDÍL - Uplatnění slev na dani a daňového zvýhodnění </t>
  </si>
  <si>
    <t>písm. a) zákona (základní sleva na poplatníka)</t>
  </si>
  <si>
    <t>65a)</t>
  </si>
  <si>
    <t>písm. b) zákona (sleva na manželku/manžela)</t>
  </si>
  <si>
    <t>65b)</t>
  </si>
  <si>
    <t>písm. b) zákona (sleva na manželku/manžela, která/který je držitelem ZTP/P)</t>
  </si>
  <si>
    <t>písm. c) zákona (základní sleva na invaliditu - pro poživatele invalidního důchodu pro invaliditu prvního nebo druhého stupně)</t>
  </si>
  <si>
    <t>písm. d) zákona (rozšířená sleva na invaliditu - pro poživatele invalidního důchodu pro invaliditu třetího stupně)</t>
  </si>
  <si>
    <t>písm. e) zákona (sleva na držitele průkazu ZTP/P)</t>
  </si>
  <si>
    <t>písm. f) zákona (sleva na studenta)</t>
  </si>
  <si>
    <t>69a)</t>
  </si>
  <si>
    <t>písm. g) zákona (sleva na umístění dítěte)</t>
  </si>
  <si>
    <t>69b)</t>
  </si>
  <si>
    <t>písm. h) zákona (sleva na evidenci tržeb)</t>
  </si>
  <si>
    <t>Daňové zvýhodnění na vyživované dítě</t>
  </si>
  <si>
    <t>je zaměstnanec (zakládající limit na nemocenském resp. důchodovém pojištění)</t>
  </si>
  <si>
    <t xml:space="preserve">řádek 31 DP přesahuje částku 226.800 Kč </t>
  </si>
  <si>
    <t>Vyberte "x" pokud je dané tvrzení pravdivé, jinak nechte políčko prázdné</t>
  </si>
  <si>
    <t>je důchodce invalidní nebo starobní</t>
  </si>
  <si>
    <t>pobírá rodičovský příspěvek</t>
  </si>
  <si>
    <t>pobírá peněžitou pomoc v mateřství</t>
  </si>
  <si>
    <t>pečuje o zdravotně postiženou osobu mladší 10 let</t>
  </si>
  <si>
    <t>vykonává vojenskou službu pokud se nejedná o vojáka z povolání</t>
  </si>
  <si>
    <t>je nezaopatřeným dítětem (maximálně do 26 roku věku)</t>
  </si>
  <si>
    <t>plátcem zdravotního pojistného za klienta byl stát (student, důchodce, ostatní viz komentář)</t>
  </si>
  <si>
    <t>pobíral celý rok nemocenské</t>
  </si>
  <si>
    <t>je osobou s těžkým tělesným, smyslovým nebo mentálním postižením, které se poskytují mimořádné výhody II.</t>
  </si>
  <si>
    <t>nebo III. stupně podle předpisů o sociálním zabezpečení</t>
  </si>
  <si>
    <t>dosáhl věku potřebného pro nárok na starobní důchod, avšak nesplnil další podmínky pro jeho přiznání</t>
  </si>
  <si>
    <t>celodenně osobně a řádně pečoval(a) alespoň o jedno dítě do 7 let nebo nejméně o dvě děti do 15 let věku</t>
  </si>
  <si>
    <t>Zadejte  do systému:</t>
  </si>
  <si>
    <t>Příjmy ze zaměstnání</t>
  </si>
  <si>
    <t>skutečná hodnota</t>
  </si>
  <si>
    <t>hodnota pro zadání</t>
  </si>
  <si>
    <t>Průměrný čistý měsíční příjem (min. za poslední 3 měsíce)</t>
  </si>
  <si>
    <t>Příjmy z podnikání</t>
  </si>
  <si>
    <t>Příjmy z podnikatelské činnosti - roční čistý příjem z daňového přiznání</t>
  </si>
  <si>
    <t>Ostatní příjmy</t>
  </si>
  <si>
    <t>Průměrný měsíční příjem z pronájmu nemovitostí</t>
  </si>
  <si>
    <t>Je klient osoba bez zdanitelných příjmů?</t>
  </si>
  <si>
    <t>ANO</t>
  </si>
  <si>
    <t>NE</t>
  </si>
  <si>
    <t>Je klient osoba samostatně výdělečně činná (OSVČ)?</t>
  </si>
  <si>
    <t>základ daně</t>
  </si>
  <si>
    <t>řádek 37 DP</t>
  </si>
  <si>
    <t>hlavní</t>
  </si>
  <si>
    <t>vedlejší</t>
  </si>
  <si>
    <t>vypočtený vyměřovací základ</t>
  </si>
  <si>
    <t>rozhodná částka</t>
  </si>
  <si>
    <t>minimální vyměřovací základ</t>
  </si>
  <si>
    <t>maximální vyměřovací základ</t>
  </si>
  <si>
    <t>určený vyměřovací základ</t>
  </si>
  <si>
    <t>vyměřovací základ ze zaměstnání</t>
  </si>
  <si>
    <t>řádek 31 DP</t>
  </si>
  <si>
    <t>součet vyměrovacích základů</t>
  </si>
  <si>
    <t>vyměřovací základ ze SVČ</t>
  </si>
  <si>
    <t>pojistné</t>
  </si>
  <si>
    <t>HI</t>
  </si>
  <si>
    <t>minimální základ                   ano</t>
  </si>
  <si>
    <t>ne</t>
  </si>
  <si>
    <t>vyměřovací základ zaměstnance</t>
  </si>
  <si>
    <t>není  již aplikován strop</t>
  </si>
  <si>
    <t>vyměřovací základ OSVČ</t>
  </si>
  <si>
    <t>minimální mzda</t>
  </si>
  <si>
    <t>částka přesahující max. VZ</t>
  </si>
  <si>
    <t>OSVČ</t>
  </si>
  <si>
    <t>Sazba daně</t>
  </si>
  <si>
    <t>základ daně §7</t>
  </si>
  <si>
    <t xml:space="preserve"> - ztráta</t>
  </si>
  <si>
    <t>základ daně po odpočtu ztráty</t>
  </si>
  <si>
    <t>nezdanitelné části základu daně</t>
  </si>
  <si>
    <t>základ daně zaokrouhledný na celá sta dolů</t>
  </si>
  <si>
    <t>PZZ: Úhrn příjmů od všech zaměstnavatelů</t>
  </si>
  <si>
    <t>Suma PZZ+PZP</t>
  </si>
  <si>
    <t>Platí se zvýšená daň 23% z PZP?</t>
  </si>
  <si>
    <t>základ daně pro zvýšenou daň 23%</t>
  </si>
  <si>
    <t>Daň - část daněná zvýšenou daní 23%</t>
  </si>
  <si>
    <r>
      <t xml:space="preserve">základ daně </t>
    </r>
    <r>
      <rPr>
        <i/>
        <sz val="10"/>
        <rFont val="Arial"/>
        <family val="2"/>
        <charset val="238"/>
      </rPr>
      <t>(bez části, která je daněna zvýšenou daní 23%)</t>
    </r>
  </si>
  <si>
    <t>daň</t>
  </si>
  <si>
    <t>slevy na dani</t>
  </si>
  <si>
    <t>daň po uplatnění slev na dani</t>
  </si>
  <si>
    <t>Solidární daň</t>
  </si>
  <si>
    <t>Limit pro placení zvýšené daně 23%</t>
  </si>
  <si>
    <t>KAPITÁLOVÝ MAJETEK</t>
  </si>
  <si>
    <t>základ daně §8</t>
  </si>
  <si>
    <t>PRONÁJEM</t>
  </si>
  <si>
    <t>základ daně §9</t>
  </si>
  <si>
    <t>Další slevy na dani</t>
  </si>
  <si>
    <t>daňové zvýhodnění na vyživované dítě</t>
  </si>
  <si>
    <t>Kategorie podle CZ-NACE</t>
  </si>
  <si>
    <t>Paušály 2019</t>
  </si>
  <si>
    <t>Upravené paušály KB 2019</t>
  </si>
  <si>
    <t>* Combobox paušál</t>
  </si>
  <si>
    <t>2 - Lesnictví a těžba dřeva</t>
  </si>
  <si>
    <t>Neuplatňuje</t>
  </si>
  <si>
    <t>11 - Výroba nápojů</t>
  </si>
  <si>
    <t>Uplatňuje - dle DP</t>
  </si>
  <si>
    <t>18 - Tisk a rozmnožování nahraných nosičů</t>
  </si>
  <si>
    <t>32 - Ostatní zpracovatelský průmysl</t>
  </si>
  <si>
    <t>Uplatňuje - individuální</t>
  </si>
  <si>
    <t>33 - Opravy a instalace strojů a zařízení</t>
  </si>
  <si>
    <t>43 - Specializované stavební činnosti</t>
  </si>
  <si>
    <t xml:space="preserve">47 - Maloobchod, kromě motorových vozidel </t>
  </si>
  <si>
    <t>55 - Ubytování</t>
  </si>
  <si>
    <t>56 - Stravování a pohostinství</t>
  </si>
  <si>
    <t>58 - Vydavatelské činnosti</t>
  </si>
  <si>
    <t>63 - Informační činnosti</t>
  </si>
  <si>
    <t>64 - Finanční zprostředkování, kromě pojišťovnictví a penzijního financování</t>
  </si>
  <si>
    <t>65 - Pojištění, zajištění a penzijní financování, kromě povinného sociálního zabezpečení</t>
  </si>
  <si>
    <t>66 - Ostatní finanční činnosti</t>
  </si>
  <si>
    <t>68 - Činnosti v oblasti nemovitostí</t>
  </si>
  <si>
    <t>69 - Právní a účetnické činnosti</t>
  </si>
  <si>
    <t>60% / 40%</t>
  </si>
  <si>
    <t>70 - Činnnosti vedení podniků; poradenství v oblasti řízení</t>
  </si>
  <si>
    <t>71 - Architektonické a inženýrské činnosti; technické zkoušky a analýzy</t>
  </si>
  <si>
    <t>72 - Výzkum a vývoj</t>
  </si>
  <si>
    <t>73 - Reklama a průzkum trhu</t>
  </si>
  <si>
    <t>74 - Ostatní profesní, vědecké a technické činnosti</t>
  </si>
  <si>
    <t>77 - Činnosti v oblasti pronájmu a operativního leasingu</t>
  </si>
  <si>
    <t>78 - Činnosti související se zaměstnáním</t>
  </si>
  <si>
    <t xml:space="preserve">81 - Činnosti související se stavbami a úpravou krajiny </t>
  </si>
  <si>
    <t>82 - Administrativní, kancelářské a jiné podpůrné činnosti pro podnikání</t>
  </si>
  <si>
    <t>85 - Vzdělávání</t>
  </si>
  <si>
    <t>88 - Ambulantní nebo terénní sociální služby</t>
  </si>
  <si>
    <t>95 - Opravy počítačů a výrobků pro osobní potřebu a převážně pro domácnost</t>
  </si>
  <si>
    <t>96 - Poskytování ostatních osobních služeb</t>
  </si>
  <si>
    <t>1 - Rostlinná a živočišná výroba, myslivost a související činnosti</t>
  </si>
  <si>
    <t>3 - Rybolov a akvakultura</t>
  </si>
  <si>
    <t>5 - Těžba a úprava černého a hnědého uhlí</t>
  </si>
  <si>
    <t>6 - Těžba ropy a zemního plynu</t>
  </si>
  <si>
    <t>7 - Těžba a úprava rud</t>
  </si>
  <si>
    <t>8 - Ostatní těžba a dobývání</t>
  </si>
  <si>
    <t>9 - Podpůrné činnosti při těžbě</t>
  </si>
  <si>
    <t>10 - Výroba potravinářských výrobků</t>
  </si>
  <si>
    <t>12 - Výroba tabákových výrobků</t>
  </si>
  <si>
    <t>13 - Výroba textilií</t>
  </si>
  <si>
    <t>14 - Výroba oděvů</t>
  </si>
  <si>
    <t>15 - Výroba usní a souvisejících výrobků</t>
  </si>
  <si>
    <t>16 - Zpracování dřeva, výroba dřevěných, korkových, proutěných a slaměných výrobků kromě nábytku</t>
  </si>
  <si>
    <t>17 - Výroba papíru a výrobků z papíru</t>
  </si>
  <si>
    <t>19 - Výroba koksu a rafinovaných ropných produktů</t>
  </si>
  <si>
    <t>20 - Výroba chemických látek a chemických přípravků</t>
  </si>
  <si>
    <t>21 - Výroba základních farmaceutických výrobků a farmaceutických přípravků</t>
  </si>
  <si>
    <t>22 - Výroba pryžových a plastových výrobků</t>
  </si>
  <si>
    <t>23 - Výroba ostatních nekovových minerálních výrobků</t>
  </si>
  <si>
    <t>24 - Výroba základních kovů, hutní zpracování kovů; slévárenství</t>
  </si>
  <si>
    <t>25 - Výroba kovových konstrukcí a kovodělných výrobků, kromě strojů a zařízení</t>
  </si>
  <si>
    <t>26 - Výroba počítačů, elektronických a optických přístrojů a zařízení</t>
  </si>
  <si>
    <t>27 - Výroba elektrických zařízení</t>
  </si>
  <si>
    <t>28 - Výroba strojů a zařízení j. n.</t>
  </si>
  <si>
    <t>29 - Výroba motorových vozidel (kromě motocyklů), přívěsů a návěsů</t>
  </si>
  <si>
    <t>30 - Výroba ostatních dopravních prostředků a zařízení</t>
  </si>
  <si>
    <t>31 - Výroba nábytku</t>
  </si>
  <si>
    <t>35 - Výroba a rozvod elektřiny, plynu, tepla a klimatizovaného vzduchu</t>
  </si>
  <si>
    <t>36 - Shromažďování, úprava a rozvod vody</t>
  </si>
  <si>
    <t>37 - Činnosti související s odpadními vodami</t>
  </si>
  <si>
    <t>38 - Shromažďování, sběr a odstraňování odpadů, úprava odpadů k dalšímu využití</t>
  </si>
  <si>
    <t>39 - Sanace a jiné činnosti související s odpady</t>
  </si>
  <si>
    <t>41 - Výstavba budov</t>
  </si>
  <si>
    <t>42 - Inženýrské stavitelství</t>
  </si>
  <si>
    <t>45 - Velkoobchod, maloobchod a opravy motorových vozidel</t>
  </si>
  <si>
    <t>46 - Velkoobchod, kromě motorových vozidel</t>
  </si>
  <si>
    <t>49 - Pozemní a potrubní doprava</t>
  </si>
  <si>
    <t>50 - Vodní doprava</t>
  </si>
  <si>
    <t>51 - Letecká doprava</t>
  </si>
  <si>
    <t>52 - Skladování a vedlejší činnosti v dopravě</t>
  </si>
  <si>
    <t>53 - Poštovní a kurýrní činnosti</t>
  </si>
  <si>
    <t>59 - Činnosti v oblasti filmů, video‑záznamů a televizních programů, zvukových nahrávek a hudební vydavatelské činnosti</t>
  </si>
  <si>
    <t>60 - Tvorba programů a vysílání</t>
  </si>
  <si>
    <t>61 - Telekomunikační činnosti</t>
  </si>
  <si>
    <t>75 - Veterinární činnosti</t>
  </si>
  <si>
    <t>79 - Činnosti cestovních agentur, rezervačních služeb a související činnosti</t>
  </si>
  <si>
    <t>80 - Bezpečnostní a pátrací činnosti</t>
  </si>
  <si>
    <t>86 - Zdravotní péče</t>
  </si>
  <si>
    <t>87 - Pobytové služby sociální péče</t>
  </si>
  <si>
    <t>90 - Tvůrčí, umělecké a zábavní činnosti</t>
  </si>
  <si>
    <t>91 - Činnosti knihoven, archivů, muzeí a jiných kulturních zařízení</t>
  </si>
  <si>
    <t>92 - Činnosti heren, kasin a sázkových kanceláří</t>
  </si>
  <si>
    <t>93 - Sportovní, zábavní a rekreační činnosti</t>
  </si>
  <si>
    <t>PŘÍJMY ZE ZÁVISLÉ ČINNOSTI</t>
  </si>
  <si>
    <t>příjmy ze závislé činnosti (průměrné měsíční)</t>
  </si>
  <si>
    <t>rozdíl příjmů a výdajů z podnikání (§7)</t>
  </si>
  <si>
    <t>výdaje na sociální pojištění OSVČ</t>
  </si>
  <si>
    <t>výdaje na zdravotní pojištění OSVČ</t>
  </si>
  <si>
    <t>čisté příjmy z podnikání (roční)</t>
  </si>
  <si>
    <t>PŘÍJMY Z KAPITÁLOVÉHO MAJETKU</t>
  </si>
  <si>
    <t>příjmy z kapitálového majetku (§8)</t>
  </si>
  <si>
    <t>čisté příjmy z kapitálového majetku (roční)</t>
  </si>
  <si>
    <t>PŘÍJMY Z PRONÁJMU</t>
  </si>
  <si>
    <t>rozdíl příjmů a výdajů z pronájmu (§9)</t>
  </si>
  <si>
    <t>čisté příjmy z pronájmu (průměrné měsíční)</t>
  </si>
  <si>
    <t>Čistý průměrný měsíční příjem za posledních 12 měsíců (min. za poslední 3 měsíce) podle "Potvrzení o výši pracovního příjmu"</t>
  </si>
  <si>
    <t>Část příjmů nebo výsledku hospodaření před zdaněním (zisk), kterou rozdělujete na spolupracující osobu (osoby) podle § 13 zákona, včetně člena rodiny zúčastněného na provozu rodinného závodu.</t>
  </si>
  <si>
    <t>Odst. 1 zákona (hodnota bezúplatného plnění - daru/darů)</t>
  </si>
  <si>
    <t>Odst. 3 a 4 zákona (odečet úroků)</t>
  </si>
  <si>
    <t>Odst. 5 zákona (penzijní připojištění, penzijní pojištění a doplňkové penzijní spoření)</t>
  </si>
  <si>
    <t>Odst. 6 zákona (soukromé životní pojištění)</t>
  </si>
  <si>
    <t>Odst. 7 zákona (odborové příspěvky)</t>
  </si>
  <si>
    <t>Odst. 8 zákona (úhrada za další vzdělávání)</t>
  </si>
  <si>
    <t>§34 odst. 4 zákona (výzkum a vývoj)</t>
  </si>
  <si>
    <t>52a</t>
  </si>
  <si>
    <t>§34 odst. 4 zákona (odpočet na podporu odborného vzdělávání)</t>
  </si>
  <si>
    <t>Další částky</t>
  </si>
  <si>
    <t>Přijmení</t>
  </si>
  <si>
    <t>Pokud je klient OSVČ a zároveň pro něj připadá v úvahu jedna z následujících možností, zaškrtněte ji.</t>
  </si>
  <si>
    <t>zaměstnanec (zakládající limit na nemocenském resp. důchodovém pojištění)</t>
  </si>
  <si>
    <t>důchodce invalidní nebo starobní</t>
  </si>
  <si>
    <t>pečuje o osobu mladší 10 let</t>
  </si>
  <si>
    <t>plní vojenskou službu</t>
  </si>
  <si>
    <t>nezaopatřené dítě</t>
  </si>
  <si>
    <t>plátcem zdravotního pojistného byl stát</t>
  </si>
  <si>
    <t xml:space="preserve">řádek 31 DP přesahuje částku 194.400 Kč </t>
  </si>
  <si>
    <t>osoba s těžkým tělesným, smyslovým nebo mentálním postižením, které se poskytují mimořádné výhody II.</t>
  </si>
  <si>
    <t>celodenně osobně a řádně pečovala alespoň o jedno dítě do 7 let nebo nejméně o dvě děti do 15 let věku</t>
  </si>
  <si>
    <t>Pokud požadujete modifikaci výdajů  paušálem, pak vyberte jednu možnost:</t>
  </si>
  <si>
    <t>původní</t>
  </si>
  <si>
    <t>modifikovaná</t>
  </si>
  <si>
    <t>Datum</t>
  </si>
  <si>
    <t>Podpis</t>
  </si>
  <si>
    <t>* Combobox X</t>
  </si>
  <si>
    <t>x</t>
  </si>
  <si>
    <r>
      <t>Kalkulačka k DP</t>
    </r>
    <r>
      <rPr>
        <b/>
        <sz val="12"/>
        <color rgb="FFFF0000"/>
        <rFont val="Arial"/>
        <family val="2"/>
        <charset val="238"/>
      </rPr>
      <t xml:space="preserve"> za rok 2024 </t>
    </r>
    <r>
      <rPr>
        <b/>
        <sz val="12"/>
        <color indexed="9"/>
        <rFont val="Arial"/>
        <family val="2"/>
        <charset val="238"/>
      </rPr>
      <t>| verze 12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</si>
</sst>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0\ _K_č"/>
    <numFmt numFmtId="165" formatCode="#,##0\ \ "/>
    <numFmt numFmtId="166" formatCode="0.0%"/>
    <numFmt numFmtId="167" formatCode="0.000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2"/>
      <color indexed="9"/>
      <name val="Arial"/>
      <family val="2"/>
      <charset val="238"/>
    </font>
    <font>
      <b/>
      <sz val="12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7"/>
      <name val="Arial"/>
      <family val="2"/>
    </font>
    <font>
      <u/>
      <sz val="10"/>
      <name val="Arial"/>
      <family val="2"/>
      <charset val="238"/>
    </font>
    <font>
      <b/>
      <sz val="9"/>
      <name val="Arial"/>
      <family val="2"/>
      <charset val="238"/>
    </font>
    <font>
      <sz val="10"/>
      <color indexed="8"/>
      <name val="Arial"/>
      <family val="2"/>
    </font>
    <font>
      <sz val="10"/>
      <color theme="1"/>
      <name val="Arial"/>
      <family val="2"/>
      <charset val="238"/>
    </font>
    <font>
      <b/>
      <sz val="11"/>
      <name val="Arial"/>
      <family val="2"/>
      <charset val="238"/>
    </font>
    <font>
      <sz val="10"/>
      <color indexed="23"/>
      <name val="Arial"/>
      <family val="2"/>
      <charset val="238"/>
    </font>
    <font>
      <sz val="10"/>
      <color theme="0" tint="-0.14999847407452621"/>
      <name val="Arial"/>
      <family val="2"/>
      <charset val="238"/>
    </font>
    <font>
      <b/>
      <sz val="10"/>
      <color theme="0" tint="-0.14999847407452621"/>
      <name val="Arial"/>
      <family val="2"/>
      <charset val="238"/>
    </font>
    <font>
      <sz val="48"/>
      <name val="KBlogo"/>
      <charset val="2"/>
    </font>
    <font>
      <b/>
      <sz val="13"/>
      <color indexed="9"/>
      <name val="Arial"/>
      <family val="2"/>
      <charset val="238"/>
    </font>
    <font>
      <b/>
      <sz val="10"/>
      <name val="Arial"/>
      <family val="2"/>
    </font>
    <font>
      <i/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b/>
      <i/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8"/>
      <name val="Arial"/>
      <family val="2"/>
      <charset val="238"/>
    </font>
    <font>
      <sz val="7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0"/>
      <color indexed="81"/>
      <name val="Calibri"/>
      <family val="2"/>
      <charset val="238"/>
    </font>
    <font>
      <sz val="11"/>
      <color rgb="FFFF0000"/>
      <name val="Calibri"/>
      <family val="2"/>
      <scheme val="minor"/>
    </font>
    <font>
      <sz val="10"/>
      <color theme="2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9"/>
      <color indexed="81"/>
      <name val="Calibri"/>
      <family val="2"/>
      <charset val="238"/>
    </font>
    <font>
      <b/>
      <sz val="9"/>
      <color indexed="81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  <scheme val="minor"/>
    </font>
    <font>
      <i/>
      <sz val="10"/>
      <color theme="0" tint="-4.9989318521683403E-2"/>
      <name val="Arial"/>
      <family val="2"/>
      <charset val="238"/>
    </font>
    <font>
      <b/>
      <sz val="12"/>
      <color rgb="FFFF000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6">
    <xf numFmtId="0" fontId="0" fillId="0" borderId="0"/>
    <xf numFmtId="0" fontId="4" fillId="0" borderId="0"/>
    <xf numFmtId="3" fontId="15" fillId="7" borderId="1" applyBorder="0">
      <alignment horizontal="center" vertical="center"/>
      <protection hidden="1"/>
    </xf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" fillId="0" borderId="0"/>
  </cellStyleXfs>
  <cellXfs count="357">
    <xf numFmtId="0" fontId="0" fillId="0" borderId="0" xfId="0"/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164" fontId="5" fillId="2" borderId="0" xfId="0" applyNumberFormat="1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7" fillId="2" borderId="0" xfId="1" applyFont="1" applyFill="1" applyAlignment="1">
      <alignment horizontal="left" vertical="center"/>
    </xf>
    <xf numFmtId="0" fontId="7" fillId="2" borderId="0" xfId="1" applyFont="1" applyFill="1" applyAlignment="1">
      <alignment horizontal="center" vertical="center"/>
    </xf>
    <xf numFmtId="0" fontId="12" fillId="6" borderId="0" xfId="1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4" fillId="2" borderId="32" xfId="0" applyFont="1" applyFill="1" applyBorder="1" applyAlignment="1" applyProtection="1">
      <alignment horizontal="center" vertical="center"/>
      <protection hidden="1"/>
    </xf>
    <xf numFmtId="0" fontId="18" fillId="2" borderId="0" xfId="0" applyFont="1" applyFill="1" applyAlignment="1">
      <alignment horizontal="center" vertical="center"/>
    </xf>
    <xf numFmtId="0" fontId="18" fillId="2" borderId="0" xfId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0" fillId="0" borderId="0" xfId="0" applyAlignment="1">
      <alignment vertical="top"/>
    </xf>
    <xf numFmtId="0" fontId="4" fillId="0" borderId="0" xfId="1" applyAlignment="1">
      <alignment vertical="center"/>
    </xf>
    <xf numFmtId="0" fontId="20" fillId="0" borderId="0" xfId="0" applyFont="1"/>
    <xf numFmtId="0" fontId="3" fillId="0" borderId="0" xfId="1" applyFont="1" applyAlignment="1">
      <alignment horizontal="left" vertical="center"/>
    </xf>
    <xf numFmtId="0" fontId="4" fillId="0" borderId="0" xfId="1"/>
    <xf numFmtId="165" fontId="8" fillId="0" borderId="8" xfId="1" applyNumberFormat="1" applyFont="1" applyBorder="1" applyAlignment="1" applyProtection="1">
      <alignment horizontal="center" vertical="center"/>
      <protection locked="0"/>
    </xf>
    <xf numFmtId="0" fontId="4" fillId="0" borderId="0" xfId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10" fillId="0" borderId="0" xfId="1" applyFont="1" applyAlignment="1">
      <alignment vertical="center" wrapText="1"/>
    </xf>
    <xf numFmtId="0" fontId="11" fillId="0" borderId="0" xfId="1" applyFont="1" applyAlignment="1">
      <alignment horizontal="left" vertical="center" wrapText="1" indent="1"/>
    </xf>
    <xf numFmtId="165" fontId="8" fillId="0" borderId="0" xfId="1" applyNumberFormat="1" applyFont="1" applyAlignment="1" applyProtection="1">
      <alignment horizontal="center" vertical="center"/>
      <protection locked="0"/>
    </xf>
    <xf numFmtId="0" fontId="4" fillId="0" borderId="0" xfId="1" applyAlignment="1">
      <alignment vertical="top"/>
    </xf>
    <xf numFmtId="0" fontId="13" fillId="0" borderId="0" xfId="1" applyFont="1" applyAlignment="1">
      <alignment horizontal="left" vertical="top"/>
    </xf>
    <xf numFmtId="0" fontId="11" fillId="0" borderId="0" xfId="1" applyFont="1" applyAlignment="1">
      <alignment vertical="top"/>
    </xf>
    <xf numFmtId="0" fontId="8" fillId="0" borderId="0" xfId="1" applyFont="1" applyAlignment="1">
      <alignment horizontal="center" vertical="top"/>
    </xf>
    <xf numFmtId="0" fontId="11" fillId="0" borderId="0" xfId="1" applyFont="1" applyAlignment="1">
      <alignment horizontal="left" vertical="top"/>
    </xf>
    <xf numFmtId="165" fontId="8" fillId="0" borderId="0" xfId="1" applyNumberFormat="1" applyFont="1" applyAlignment="1" applyProtection="1">
      <alignment horizontal="right" vertical="top"/>
      <protection locked="0"/>
    </xf>
    <xf numFmtId="3" fontId="14" fillId="0" borderId="8" xfId="0" applyNumberFormat="1" applyFont="1" applyBorder="1" applyAlignment="1" applyProtection="1">
      <alignment horizontal="center" vertical="center"/>
      <protection locked="0"/>
    </xf>
    <xf numFmtId="0" fontId="8" fillId="0" borderId="0" xfId="1" applyFont="1" applyAlignment="1">
      <alignment vertical="center"/>
    </xf>
    <xf numFmtId="0" fontId="8" fillId="0" borderId="0" xfId="1" applyFont="1" applyAlignment="1">
      <alignment horizontal="left" vertical="center" indent="1"/>
    </xf>
    <xf numFmtId="3" fontId="14" fillId="0" borderId="16" xfId="0" applyNumberFormat="1" applyFont="1" applyBorder="1" applyAlignment="1" applyProtection="1">
      <alignment horizontal="center" vertical="center"/>
      <protection locked="0"/>
    </xf>
    <xf numFmtId="3" fontId="14" fillId="0" borderId="34" xfId="0" applyNumberFormat="1" applyFont="1" applyBorder="1" applyAlignment="1" applyProtection="1">
      <alignment horizontal="center" vertical="center"/>
      <protection locked="0"/>
    </xf>
    <xf numFmtId="3" fontId="14" fillId="0" borderId="25" xfId="2" applyFont="1" applyFill="1" applyBorder="1">
      <alignment horizontal="center" vertical="center"/>
      <protection hidden="1"/>
    </xf>
    <xf numFmtId="165" fontId="8" fillId="0" borderId="0" xfId="1" applyNumberFormat="1" applyFont="1" applyAlignment="1" applyProtection="1">
      <alignment horizontal="right" vertical="center"/>
      <protection locked="0"/>
    </xf>
    <xf numFmtId="0" fontId="22" fillId="0" borderId="0" xfId="1" applyFont="1" applyAlignment="1">
      <alignment horizontal="left" vertical="top"/>
    </xf>
    <xf numFmtId="0" fontId="8" fillId="0" borderId="0" xfId="1" applyFont="1" applyAlignment="1">
      <alignment vertical="top"/>
    </xf>
    <xf numFmtId="0" fontId="8" fillId="0" borderId="0" xfId="1" applyFont="1" applyAlignment="1">
      <alignment horizontal="left" vertical="top"/>
    </xf>
    <xf numFmtId="165" fontId="8" fillId="0" borderId="16" xfId="1" applyNumberFormat="1" applyFont="1" applyBorder="1" applyAlignment="1" applyProtection="1">
      <alignment horizontal="center" vertical="center"/>
      <protection locked="0"/>
    </xf>
    <xf numFmtId="165" fontId="8" fillId="0" borderId="20" xfId="1" applyNumberFormat="1" applyFont="1" applyBorder="1" applyAlignment="1" applyProtection="1">
      <alignment horizontal="center" vertical="center"/>
      <protection locked="0"/>
    </xf>
    <xf numFmtId="165" fontId="8" fillId="0" borderId="25" xfId="1" applyNumberFormat="1" applyFont="1" applyBorder="1" applyAlignment="1" applyProtection="1">
      <alignment horizontal="center" vertical="center"/>
      <protection locked="0"/>
    </xf>
    <xf numFmtId="0" fontId="8" fillId="0" borderId="0" xfId="1" applyFont="1"/>
    <xf numFmtId="0" fontId="8" fillId="0" borderId="0" xfId="1" applyFont="1" applyAlignment="1">
      <alignment horizontal="center"/>
    </xf>
    <xf numFmtId="3" fontId="14" fillId="0" borderId="20" xfId="0" applyNumberFormat="1" applyFont="1" applyBorder="1" applyAlignment="1" applyProtection="1">
      <alignment horizontal="center" vertical="center"/>
      <protection locked="0"/>
    </xf>
    <xf numFmtId="3" fontId="14" fillId="0" borderId="25" xfId="0" applyNumberFormat="1" applyFont="1" applyBorder="1" applyAlignment="1" applyProtection="1">
      <alignment horizontal="center" vertical="center"/>
      <protection locked="0"/>
    </xf>
    <xf numFmtId="0" fontId="3" fillId="0" borderId="0" xfId="1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4" fillId="0" borderId="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4" fillId="0" borderId="38" xfId="1" applyBorder="1" applyAlignment="1">
      <alignment vertical="center"/>
    </xf>
    <xf numFmtId="0" fontId="3" fillId="0" borderId="0" xfId="1" applyFont="1" applyAlignment="1">
      <alignment horizontal="left"/>
    </xf>
    <xf numFmtId="3" fontId="4" fillId="0" borderId="0" xfId="1" applyNumberFormat="1" applyAlignment="1">
      <alignment vertical="center"/>
    </xf>
    <xf numFmtId="0" fontId="4" fillId="0" borderId="0" xfId="1" applyAlignment="1">
      <alignment horizontal="left" vertical="center"/>
    </xf>
    <xf numFmtId="0" fontId="4" fillId="0" borderId="0" xfId="0" applyFont="1"/>
    <xf numFmtId="0" fontId="4" fillId="0" borderId="0" xfId="0" applyFont="1" applyAlignment="1">
      <alignment horizontal="left" vertical="center" wrapText="1"/>
    </xf>
    <xf numFmtId="14" fontId="4" fillId="0" borderId="0" xfId="1" applyNumberForma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5" xfId="1" applyBorder="1" applyAlignment="1">
      <alignment vertical="center"/>
    </xf>
    <xf numFmtId="0" fontId="4" fillId="0" borderId="4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" xfId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3" fontId="3" fillId="0" borderId="5" xfId="1" applyNumberFormat="1" applyFont="1" applyBorder="1" applyAlignment="1">
      <alignment horizontal="left" vertical="center"/>
    </xf>
    <xf numFmtId="0" fontId="7" fillId="0" borderId="0" xfId="1" applyFont="1" applyAlignment="1">
      <alignment horizontal="left" vertical="top"/>
    </xf>
    <xf numFmtId="0" fontId="4" fillId="0" borderId="0" xfId="1" applyAlignment="1">
      <alignment horizontal="left" vertical="top"/>
    </xf>
    <xf numFmtId="3" fontId="3" fillId="0" borderId="0" xfId="1" applyNumberFormat="1" applyFont="1" applyAlignment="1">
      <alignment horizontal="left" vertical="center"/>
    </xf>
    <xf numFmtId="9" fontId="4" fillId="0" borderId="0" xfId="1" applyNumberFormat="1" applyAlignment="1">
      <alignment horizontal="left" vertical="center"/>
    </xf>
    <xf numFmtId="0" fontId="23" fillId="0" borderId="0" xfId="1" applyFont="1" applyAlignment="1">
      <alignment horizontal="left" vertical="center"/>
    </xf>
    <xf numFmtId="0" fontId="4" fillId="0" borderId="0" xfId="1" applyAlignment="1">
      <alignment horizontal="left"/>
    </xf>
    <xf numFmtId="0" fontId="3" fillId="0" borderId="5" xfId="1" applyFont="1" applyBorder="1" applyAlignment="1">
      <alignment horizontal="left" vertical="top"/>
    </xf>
    <xf numFmtId="14" fontId="23" fillId="0" borderId="0" xfId="1" applyNumberFormat="1" applyFont="1" applyAlignment="1">
      <alignment horizontal="left" vertical="center"/>
    </xf>
    <xf numFmtId="14" fontId="4" fillId="0" borderId="0" xfId="0" applyNumberFormat="1" applyFont="1" applyAlignment="1">
      <alignment horizontal="left" vertical="center" wrapText="1"/>
    </xf>
    <xf numFmtId="14" fontId="4" fillId="0" borderId="0" xfId="0" applyNumberFormat="1" applyFont="1" applyAlignment="1">
      <alignment vertical="center" wrapText="1"/>
    </xf>
    <xf numFmtId="0" fontId="3" fillId="0" borderId="0" xfId="1" applyFont="1" applyAlignment="1">
      <alignment vertical="center"/>
    </xf>
    <xf numFmtId="0" fontId="4" fillId="0" borderId="0" xfId="1" applyAlignment="1">
      <alignment horizontal="center" vertical="top"/>
    </xf>
    <xf numFmtId="9" fontId="4" fillId="0" borderId="0" xfId="1" applyNumberFormat="1" applyAlignment="1">
      <alignment vertical="center"/>
    </xf>
    <xf numFmtId="0" fontId="25" fillId="0" borderId="0" xfId="1" applyFont="1" applyAlignment="1">
      <alignment horizontal="left" vertical="center"/>
    </xf>
    <xf numFmtId="3" fontId="7" fillId="0" borderId="0" xfId="1" applyNumberFormat="1" applyFont="1" applyAlignment="1">
      <alignment horizontal="left" vertical="center"/>
    </xf>
    <xf numFmtId="0" fontId="0" fillId="0" borderId="46" xfId="0" applyBorder="1"/>
    <xf numFmtId="9" fontId="0" fillId="0" borderId="46" xfId="0" applyNumberFormat="1" applyBorder="1"/>
    <xf numFmtId="9" fontId="4" fillId="0" borderId="46" xfId="0" applyNumberFormat="1" applyFont="1" applyBorder="1"/>
    <xf numFmtId="0" fontId="3" fillId="0" borderId="0" xfId="1" applyFont="1"/>
    <xf numFmtId="3" fontId="4" fillId="0" borderId="0" xfId="1" applyNumberFormat="1"/>
    <xf numFmtId="3" fontId="0" fillId="0" borderId="0" xfId="1" applyNumberFormat="1" applyFont="1"/>
    <xf numFmtId="0" fontId="4" fillId="0" borderId="5" xfId="1" applyBorder="1"/>
    <xf numFmtId="3" fontId="4" fillId="0" borderId="5" xfId="1" applyNumberFormat="1" applyBorder="1"/>
    <xf numFmtId="3" fontId="4" fillId="0" borderId="37" xfId="1" applyNumberFormat="1" applyBorder="1"/>
    <xf numFmtId="0" fontId="26" fillId="0" borderId="39" xfId="1" applyFont="1" applyBorder="1"/>
    <xf numFmtId="3" fontId="26" fillId="9" borderId="47" xfId="1" applyNumberFormat="1" applyFont="1" applyFill="1" applyBorder="1"/>
    <xf numFmtId="0" fontId="26" fillId="0" borderId="0" xfId="1" applyFont="1"/>
    <xf numFmtId="3" fontId="26" fillId="0" borderId="0" xfId="1" applyNumberFormat="1" applyFont="1"/>
    <xf numFmtId="0" fontId="26" fillId="0" borderId="1" xfId="1" applyFont="1" applyBorder="1"/>
    <xf numFmtId="3" fontId="0" fillId="0" borderId="47" xfId="0" applyNumberFormat="1" applyBorder="1"/>
    <xf numFmtId="0" fontId="27" fillId="0" borderId="0" xfId="0" applyFont="1"/>
    <xf numFmtId="0" fontId="0" fillId="0" borderId="47" xfId="0" applyBorder="1" applyAlignment="1">
      <alignment horizontal="center"/>
    </xf>
    <xf numFmtId="3" fontId="3" fillId="10" borderId="0" xfId="0" applyNumberFormat="1" applyFont="1" applyFill="1"/>
    <xf numFmtId="3" fontId="0" fillId="0" borderId="0" xfId="0" applyNumberFormat="1"/>
    <xf numFmtId="166" fontId="4" fillId="10" borderId="0" xfId="3" applyNumberFormat="1" applyFont="1" applyFill="1"/>
    <xf numFmtId="0" fontId="26" fillId="0" borderId="5" xfId="1" applyFont="1" applyBorder="1"/>
    <xf numFmtId="3" fontId="26" fillId="9" borderId="48" xfId="1" applyNumberFormat="1" applyFont="1" applyFill="1" applyBorder="1"/>
    <xf numFmtId="0" fontId="3" fillId="0" borderId="0" xfId="0" applyFont="1"/>
    <xf numFmtId="3" fontId="3" fillId="0" borderId="0" xfId="0" applyNumberFormat="1" applyFont="1"/>
    <xf numFmtId="166" fontId="24" fillId="10" borderId="0" xfId="3" applyNumberFormat="1" applyFill="1"/>
    <xf numFmtId="0" fontId="3" fillId="0" borderId="0" xfId="0" applyFont="1" applyAlignment="1">
      <alignment vertical="center"/>
    </xf>
    <xf numFmtId="3" fontId="0" fillId="0" borderId="0" xfId="0" applyNumberFormat="1" applyAlignment="1">
      <alignment vertical="center"/>
    </xf>
    <xf numFmtId="0" fontId="0" fillId="0" borderId="5" xfId="0" applyBorder="1"/>
    <xf numFmtId="3" fontId="0" fillId="0" borderId="5" xfId="0" applyNumberFormat="1" applyBorder="1"/>
    <xf numFmtId="0" fontId="0" fillId="8" borderId="5" xfId="0" applyFill="1" applyBorder="1"/>
    <xf numFmtId="3" fontId="0" fillId="8" borderId="5" xfId="0" applyNumberFormat="1" applyFill="1" applyBorder="1"/>
    <xf numFmtId="0" fontId="23" fillId="0" borderId="5" xfId="0" applyFont="1" applyBorder="1"/>
    <xf numFmtId="3" fontId="23" fillId="0" borderId="5" xfId="0" applyNumberFormat="1" applyFont="1" applyBorder="1"/>
    <xf numFmtId="0" fontId="23" fillId="11" borderId="5" xfId="0" applyFont="1" applyFill="1" applyBorder="1"/>
    <xf numFmtId="3" fontId="23" fillId="11" borderId="5" xfId="0" applyNumberFormat="1" applyFont="1" applyFill="1" applyBorder="1" applyAlignment="1">
      <alignment horizontal="center"/>
    </xf>
    <xf numFmtId="3" fontId="23" fillId="0" borderId="5" xfId="0" applyNumberFormat="1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9" fontId="4" fillId="10" borderId="0" xfId="3" applyFont="1" applyFill="1"/>
    <xf numFmtId="3" fontId="0" fillId="0" borderId="37" xfId="0" applyNumberFormat="1" applyBorder="1"/>
    <xf numFmtId="0" fontId="28" fillId="0" borderId="1" xfId="0" applyFont="1" applyBorder="1"/>
    <xf numFmtId="3" fontId="28" fillId="0" borderId="47" xfId="0" applyNumberFormat="1" applyFont="1" applyBorder="1"/>
    <xf numFmtId="0" fontId="28" fillId="0" borderId="0" xfId="0" applyFont="1"/>
    <xf numFmtId="3" fontId="28" fillId="0" borderId="0" xfId="0" applyNumberFormat="1" applyFont="1"/>
    <xf numFmtId="0" fontId="4" fillId="0" borderId="5" xfId="0" applyFont="1" applyBorder="1"/>
    <xf numFmtId="9" fontId="0" fillId="0" borderId="0" xfId="3" applyFont="1" applyFill="1"/>
    <xf numFmtId="0" fontId="0" fillId="0" borderId="37" xfId="0" applyBorder="1"/>
    <xf numFmtId="0" fontId="4" fillId="0" borderId="47" xfId="0" applyFont="1" applyBorder="1"/>
    <xf numFmtId="0" fontId="3" fillId="0" borderId="3" xfId="1" applyFont="1" applyBorder="1" applyAlignment="1">
      <alignment vertical="center"/>
    </xf>
    <xf numFmtId="3" fontId="3" fillId="0" borderId="5" xfId="1" applyNumberFormat="1" applyFont="1" applyBorder="1" applyAlignment="1">
      <alignment horizontal="left" vertical="top"/>
    </xf>
    <xf numFmtId="167" fontId="3" fillId="0" borderId="5" xfId="1" applyNumberFormat="1" applyFont="1" applyBorder="1" applyAlignment="1">
      <alignment horizontal="left" vertical="center"/>
    </xf>
    <xf numFmtId="0" fontId="9" fillId="0" borderId="0" xfId="1" applyFont="1" applyAlignment="1">
      <alignment horizontal="left" vertical="center" wrapText="1"/>
    </xf>
    <xf numFmtId="3" fontId="7" fillId="5" borderId="0" xfId="1" applyNumberFormat="1" applyFont="1" applyFill="1" applyAlignment="1">
      <alignment horizontal="left" vertical="center"/>
    </xf>
    <xf numFmtId="3" fontId="3" fillId="5" borderId="0" xfId="1" applyNumberFormat="1" applyFont="1" applyFill="1" applyAlignment="1">
      <alignment horizontal="left" vertical="center"/>
    </xf>
    <xf numFmtId="0" fontId="0" fillId="5" borderId="0" xfId="0" applyFill="1"/>
    <xf numFmtId="0" fontId="4" fillId="5" borderId="0" xfId="1" applyFill="1" applyAlignment="1">
      <alignment horizontal="left"/>
    </xf>
    <xf numFmtId="0" fontId="3" fillId="5" borderId="0" xfId="1" applyFont="1" applyFill="1" applyAlignment="1">
      <alignment horizontal="left" vertical="top"/>
    </xf>
    <xf numFmtId="0" fontId="3" fillId="5" borderId="0" xfId="1" applyFont="1" applyFill="1" applyAlignment="1">
      <alignment horizontal="left" vertical="center"/>
    </xf>
    <xf numFmtId="0" fontId="4" fillId="5" borderId="0" xfId="1" applyFill="1" applyAlignment="1">
      <alignment horizontal="left" vertical="center"/>
    </xf>
    <xf numFmtId="0" fontId="4" fillId="2" borderId="0" xfId="1" applyFill="1"/>
    <xf numFmtId="0" fontId="4" fillId="2" borderId="0" xfId="1" applyFill="1" applyAlignment="1">
      <alignment vertical="center"/>
    </xf>
    <xf numFmtId="0" fontId="29" fillId="2" borderId="0" xfId="0" applyFont="1" applyFill="1" applyAlignment="1">
      <alignment vertical="center"/>
    </xf>
    <xf numFmtId="0" fontId="29" fillId="2" borderId="0" xfId="0" applyFont="1" applyFill="1"/>
    <xf numFmtId="0" fontId="4" fillId="2" borderId="0" xfId="1" applyFill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9" fontId="4" fillId="2" borderId="5" xfId="1" applyNumberFormat="1" applyFill="1" applyBorder="1" applyAlignment="1" applyProtection="1">
      <alignment horizontal="center" vertical="center"/>
      <protection hidden="1"/>
    </xf>
    <xf numFmtId="9" fontId="4" fillId="2" borderId="0" xfId="1" applyNumberFormat="1" applyFill="1" applyAlignment="1" applyProtection="1">
      <alignment horizontal="center" vertical="center"/>
      <protection hidden="1"/>
    </xf>
    <xf numFmtId="0" fontId="4" fillId="5" borderId="0" xfId="1" applyFill="1"/>
    <xf numFmtId="0" fontId="4" fillId="5" borderId="0" xfId="1" applyFill="1" applyAlignment="1">
      <alignment horizontal="center" vertical="center"/>
    </xf>
    <xf numFmtId="0" fontId="4" fillId="5" borderId="7" xfId="1" applyFill="1" applyBorder="1" applyAlignment="1">
      <alignment horizontal="left" vertical="center" indent="1"/>
    </xf>
    <xf numFmtId="0" fontId="7" fillId="5" borderId="0" xfId="1" applyFont="1" applyFill="1" applyAlignment="1">
      <alignment horizontal="center" vertical="center"/>
    </xf>
    <xf numFmtId="0" fontId="30" fillId="5" borderId="0" xfId="1" applyFont="1" applyFill="1" applyAlignment="1">
      <alignment vertical="center" wrapText="1"/>
    </xf>
    <xf numFmtId="0" fontId="31" fillId="5" borderId="0" xfId="1" applyFont="1" applyFill="1" applyAlignment="1">
      <alignment horizontal="left" vertical="center" wrapText="1" indent="1"/>
    </xf>
    <xf numFmtId="165" fontId="4" fillId="5" borderId="0" xfId="1" applyNumberFormat="1" applyFill="1" applyAlignment="1">
      <alignment horizontal="center" vertical="center"/>
    </xf>
    <xf numFmtId="0" fontId="4" fillId="6" borderId="0" xfId="1" applyFill="1"/>
    <xf numFmtId="0" fontId="4" fillId="6" borderId="0" xfId="1" applyFill="1" applyAlignment="1">
      <alignment horizontal="center" vertical="center"/>
    </xf>
    <xf numFmtId="0" fontId="7" fillId="6" borderId="0" xfId="1" applyFont="1" applyFill="1" applyAlignment="1">
      <alignment horizontal="center" vertical="center"/>
    </xf>
    <xf numFmtId="0" fontId="31" fillId="6" borderId="0" xfId="1" applyFont="1" applyFill="1" applyAlignment="1">
      <alignment vertical="center"/>
    </xf>
    <xf numFmtId="0" fontId="31" fillId="6" borderId="0" xfId="1" applyFont="1" applyFill="1" applyAlignment="1">
      <alignment horizontal="left" vertical="center" indent="1"/>
    </xf>
    <xf numFmtId="165" fontId="4" fillId="6" borderId="0" xfId="1" applyNumberFormat="1" applyFill="1" applyAlignment="1">
      <alignment horizontal="center" vertical="center"/>
    </xf>
    <xf numFmtId="0" fontId="4" fillId="6" borderId="11" xfId="1" applyFill="1" applyBorder="1" applyAlignment="1">
      <alignment vertical="center"/>
    </xf>
    <xf numFmtId="0" fontId="4" fillId="6" borderId="7" xfId="1" applyFill="1" applyBorder="1" applyAlignment="1">
      <alignment vertical="center"/>
    </xf>
    <xf numFmtId="0" fontId="4" fillId="6" borderId="7" xfId="1" applyFill="1" applyBorder="1" applyAlignment="1">
      <alignment horizontal="left" vertical="center" indent="1"/>
    </xf>
    <xf numFmtId="0" fontId="4" fillId="6" borderId="0" xfId="1" applyFill="1" applyAlignment="1">
      <alignment vertical="center"/>
    </xf>
    <xf numFmtId="0" fontId="4" fillId="6" borderId="0" xfId="1" applyFill="1" applyAlignment="1">
      <alignment horizontal="left" vertical="center" indent="1"/>
    </xf>
    <xf numFmtId="165" fontId="4" fillId="6" borderId="0" xfId="1" applyNumberFormat="1" applyFill="1" applyAlignment="1" applyProtection="1">
      <alignment horizontal="center" vertical="center"/>
      <protection locked="0"/>
    </xf>
    <xf numFmtId="0" fontId="4" fillId="6" borderId="15" xfId="1" applyFill="1" applyBorder="1" applyAlignment="1">
      <alignment horizontal="left" vertical="center" wrapText="1" indent="1"/>
    </xf>
    <xf numFmtId="0" fontId="4" fillId="6" borderId="2" xfId="1" applyFill="1" applyBorder="1" applyAlignment="1">
      <alignment horizontal="left" vertical="center" wrapText="1" indent="1"/>
    </xf>
    <xf numFmtId="0" fontId="4" fillId="6" borderId="24" xfId="1" applyFill="1" applyBorder="1" applyAlignment="1">
      <alignment horizontal="left" vertical="center" indent="1"/>
    </xf>
    <xf numFmtId="0" fontId="4" fillId="6" borderId="9" xfId="1" applyFill="1" applyBorder="1" applyAlignment="1">
      <alignment horizontal="left" vertical="center" indent="1"/>
    </xf>
    <xf numFmtId="165" fontId="4" fillId="4" borderId="29" xfId="1" applyNumberFormat="1" applyFill="1" applyBorder="1" applyAlignment="1" applyProtection="1">
      <alignment horizontal="center"/>
      <protection locked="0"/>
    </xf>
    <xf numFmtId="165" fontId="4" fillId="6" borderId="0" xfId="1" applyNumberFormat="1" applyFill="1" applyAlignment="1" applyProtection="1">
      <alignment horizontal="right" vertical="center"/>
      <protection locked="0"/>
    </xf>
    <xf numFmtId="0" fontId="4" fillId="6" borderId="14" xfId="1" applyFill="1" applyBorder="1" applyAlignment="1">
      <alignment vertical="center"/>
    </xf>
    <xf numFmtId="0" fontId="4" fillId="6" borderId="15" xfId="1" applyFill="1" applyBorder="1" applyAlignment="1">
      <alignment vertical="center"/>
    </xf>
    <xf numFmtId="0" fontId="4" fillId="6" borderId="15" xfId="1" applyFill="1" applyBorder="1" applyAlignment="1">
      <alignment horizontal="left" vertical="center" indent="1"/>
    </xf>
    <xf numFmtId="0" fontId="4" fillId="6" borderId="19" xfId="1" applyFill="1" applyBorder="1" applyAlignment="1">
      <alignment vertical="center"/>
    </xf>
    <xf numFmtId="0" fontId="4" fillId="6" borderId="2" xfId="1" applyFill="1" applyBorder="1" applyAlignment="1">
      <alignment vertical="center"/>
    </xf>
    <xf numFmtId="0" fontId="4" fillId="6" borderId="2" xfId="1" applyFill="1" applyBorder="1" applyAlignment="1">
      <alignment horizontal="left" vertical="center" indent="1"/>
    </xf>
    <xf numFmtId="0" fontId="4" fillId="6" borderId="0" xfId="1" applyFill="1" applyAlignment="1">
      <alignment horizontal="center"/>
    </xf>
    <xf numFmtId="0" fontId="4" fillId="6" borderId="2" xfId="1" applyFill="1" applyBorder="1" applyAlignment="1">
      <alignment horizontal="left" vertical="center"/>
    </xf>
    <xf numFmtId="0" fontId="4" fillId="6" borderId="30" xfId="1" applyFill="1" applyBorder="1" applyAlignment="1">
      <alignment vertical="center"/>
    </xf>
    <xf numFmtId="0" fontId="4" fillId="6" borderId="31" xfId="1" applyFill="1" applyBorder="1" applyAlignment="1">
      <alignment vertical="center"/>
    </xf>
    <xf numFmtId="0" fontId="4" fillId="6" borderId="23" xfId="1" applyFill="1" applyBorder="1" applyAlignment="1">
      <alignment vertical="center"/>
    </xf>
    <xf numFmtId="0" fontId="4" fillId="6" borderId="24" xfId="1" applyFill="1" applyBorder="1" applyAlignment="1">
      <alignment vertical="center"/>
    </xf>
    <xf numFmtId="0" fontId="4" fillId="6" borderId="24" xfId="1" applyFill="1" applyBorder="1" applyAlignment="1">
      <alignment horizontal="left" vertical="center" wrapText="1" indent="1"/>
    </xf>
    <xf numFmtId="0" fontId="4" fillId="6" borderId="15" xfId="1" applyFill="1" applyBorder="1" applyAlignment="1">
      <alignment horizontal="left" vertical="center"/>
    </xf>
    <xf numFmtId="0" fontId="4" fillId="6" borderId="31" xfId="1" applyFill="1" applyBorder="1" applyAlignment="1">
      <alignment horizontal="left" vertical="center" wrapText="1"/>
    </xf>
    <xf numFmtId="0" fontId="4" fillId="6" borderId="31" xfId="1" applyFill="1" applyBorder="1" applyAlignment="1">
      <alignment horizontal="left" vertical="center" wrapText="1" indent="1"/>
    </xf>
    <xf numFmtId="0" fontId="4" fillId="6" borderId="0" xfId="1" applyFill="1" applyAlignment="1">
      <alignment horizontal="left" vertical="center" wrapText="1"/>
    </xf>
    <xf numFmtId="0" fontId="4" fillId="6" borderId="0" xfId="1" applyFill="1" applyAlignment="1">
      <alignment horizontal="left" vertical="center" wrapText="1" indent="1"/>
    </xf>
    <xf numFmtId="0" fontId="4" fillId="5" borderId="0" xfId="1" applyFill="1" applyAlignment="1">
      <alignment vertical="center"/>
    </xf>
    <xf numFmtId="0" fontId="33" fillId="5" borderId="0" xfId="1" applyFont="1" applyFill="1" applyAlignment="1">
      <alignment horizontal="left" vertical="center"/>
    </xf>
    <xf numFmtId="3" fontId="4" fillId="5" borderId="0" xfId="1" applyNumberFormat="1" applyFill="1" applyAlignment="1">
      <alignment vertical="center"/>
    </xf>
    <xf numFmtId="0" fontId="29" fillId="5" borderId="0" xfId="0" applyFont="1" applyFill="1"/>
    <xf numFmtId="0" fontId="4" fillId="5" borderId="0" xfId="1" applyFill="1" applyAlignment="1">
      <alignment vertical="top"/>
    </xf>
    <xf numFmtId="0" fontId="17" fillId="2" borderId="0" xfId="0" applyFont="1" applyFill="1" applyAlignment="1">
      <alignment horizontal="left" vertical="center"/>
    </xf>
    <xf numFmtId="0" fontId="4" fillId="2" borderId="0" xfId="0" applyFont="1" applyFill="1" applyAlignment="1" applyProtection="1">
      <alignment horizontal="center" vertical="center"/>
      <protection hidden="1"/>
    </xf>
    <xf numFmtId="0" fontId="35" fillId="5" borderId="0" xfId="0" applyFont="1" applyFill="1" applyAlignment="1">
      <alignment horizontal="right"/>
    </xf>
    <xf numFmtId="0" fontId="29" fillId="5" borderId="0" xfId="0" applyFont="1" applyFill="1" applyAlignment="1">
      <alignment vertical="center"/>
    </xf>
    <xf numFmtId="3" fontId="29" fillId="5" borderId="0" xfId="0" applyNumberFormat="1" applyFont="1" applyFill="1"/>
    <xf numFmtId="3" fontId="3" fillId="5" borderId="0" xfId="4" applyNumberFormat="1" applyFont="1" applyFill="1" applyBorder="1" applyAlignment="1">
      <alignment horizontal="left" vertical="center"/>
    </xf>
    <xf numFmtId="0" fontId="4" fillId="5" borderId="0" xfId="0" applyFont="1" applyFill="1" applyAlignment="1" applyProtection="1">
      <alignment horizontal="center" vertical="center"/>
      <protection locked="0"/>
    </xf>
    <xf numFmtId="0" fontId="0" fillId="2" borderId="0" xfId="0" applyFill="1"/>
    <xf numFmtId="0" fontId="0" fillId="0" borderId="47" xfId="0" applyBorder="1"/>
    <xf numFmtId="0" fontId="36" fillId="2" borderId="0" xfId="1" applyFont="1" applyFill="1" applyAlignment="1">
      <alignment vertical="center"/>
    </xf>
    <xf numFmtId="3" fontId="25" fillId="0" borderId="0" xfId="0" applyNumberFormat="1" applyFont="1"/>
    <xf numFmtId="3" fontId="3" fillId="5" borderId="5" xfId="4" applyNumberFormat="1" applyFont="1" applyFill="1" applyBorder="1" applyAlignment="1" applyProtection="1">
      <alignment horizontal="left" vertical="top"/>
      <protection hidden="1"/>
    </xf>
    <xf numFmtId="3" fontId="3" fillId="5" borderId="5" xfId="4" applyNumberFormat="1" applyFont="1" applyFill="1" applyBorder="1" applyAlignment="1" applyProtection="1">
      <alignment horizontal="left" vertical="center"/>
      <protection hidden="1"/>
    </xf>
    <xf numFmtId="0" fontId="4" fillId="5" borderId="4" xfId="0" applyFont="1" applyFill="1" applyBorder="1" applyAlignment="1" applyProtection="1">
      <alignment horizontal="center" vertical="center"/>
      <protection locked="0" hidden="1"/>
    </xf>
    <xf numFmtId="0" fontId="4" fillId="6" borderId="2" xfId="1" applyFill="1" applyBorder="1" applyAlignment="1">
      <alignment horizontal="left" vertical="center" wrapText="1"/>
    </xf>
    <xf numFmtId="0" fontId="4" fillId="6" borderId="24" xfId="1" applyFill="1" applyBorder="1" applyAlignment="1">
      <alignment horizontal="left" vertical="center"/>
    </xf>
    <xf numFmtId="0" fontId="4" fillId="6" borderId="24" xfId="1" applyFill="1" applyBorder="1" applyAlignment="1">
      <alignment horizontal="left" vertical="center" wrapText="1"/>
    </xf>
    <xf numFmtId="0" fontId="13" fillId="6" borderId="0" xfId="1" applyFont="1" applyFill="1" applyAlignment="1">
      <alignment vertical="center"/>
    </xf>
    <xf numFmtId="165" fontId="4" fillId="4" borderId="5" xfId="1" applyNumberFormat="1" applyFill="1" applyBorder="1" applyAlignment="1" applyProtection="1">
      <alignment horizontal="center" vertical="center"/>
      <protection locked="0"/>
    </xf>
    <xf numFmtId="0" fontId="12" fillId="6" borderId="5" xfId="1" applyFont="1" applyFill="1" applyBorder="1" applyAlignment="1">
      <alignment horizontal="center"/>
    </xf>
    <xf numFmtId="0" fontId="0" fillId="0" borderId="51" xfId="0" applyBorder="1"/>
    <xf numFmtId="3" fontId="32" fillId="4" borderId="34" xfId="0" applyNumberFormat="1" applyFont="1" applyFill="1" applyBorder="1" applyAlignment="1" applyProtection="1">
      <alignment horizontal="center" vertical="center"/>
      <protection locked="0"/>
    </xf>
    <xf numFmtId="0" fontId="0" fillId="0" borderId="20" xfId="0" applyBorder="1"/>
    <xf numFmtId="0" fontId="1" fillId="0" borderId="0" xfId="5"/>
    <xf numFmtId="9" fontId="1" fillId="0" borderId="0" xfId="5" applyNumberFormat="1"/>
    <xf numFmtId="0" fontId="25" fillId="0" borderId="5" xfId="0" applyFont="1" applyBorder="1" applyAlignment="1">
      <alignment vertical="center"/>
    </xf>
    <xf numFmtId="0" fontId="41" fillId="12" borderId="0" xfId="0" applyFont="1" applyFill="1"/>
    <xf numFmtId="0" fontId="3" fillId="0" borderId="5" xfId="0" applyFont="1" applyBorder="1" applyAlignment="1">
      <alignment vertical="center" wrapText="1"/>
    </xf>
    <xf numFmtId="9" fontId="4" fillId="0" borderId="0" xfId="0" applyNumberFormat="1" applyFont="1" applyAlignment="1">
      <alignment horizontal="right"/>
    </xf>
    <xf numFmtId="0" fontId="42" fillId="2" borderId="0" xfId="1" applyFont="1" applyFill="1" applyAlignment="1">
      <alignment vertical="center"/>
    </xf>
    <xf numFmtId="9" fontId="4" fillId="2" borderId="5" xfId="1" applyNumberFormat="1" applyFill="1" applyBorder="1" applyAlignment="1" applyProtection="1">
      <alignment horizontal="center" vertical="center"/>
      <protection locked="0" hidden="1"/>
    </xf>
    <xf numFmtId="0" fontId="0" fillId="10" borderId="0" xfId="0" applyFill="1"/>
    <xf numFmtId="165" fontId="4" fillId="4" borderId="5" xfId="1" applyNumberFormat="1" applyFill="1" applyBorder="1" applyAlignment="1" applyProtection="1">
      <alignment horizontal="center" vertical="center"/>
      <protection locked="0"/>
    </xf>
    <xf numFmtId="165" fontId="4" fillId="4" borderId="20" xfId="1" applyNumberFormat="1" applyFill="1" applyBorder="1" applyAlignment="1" applyProtection="1">
      <alignment horizontal="center" vertical="center"/>
      <protection locked="0"/>
    </xf>
    <xf numFmtId="165" fontId="4" fillId="4" borderId="54" xfId="1" applyNumberFormat="1" applyFill="1" applyBorder="1" applyAlignment="1" applyProtection="1">
      <alignment horizontal="center" vertical="center"/>
      <protection locked="0"/>
    </xf>
    <xf numFmtId="165" fontId="4" fillId="4" borderId="25" xfId="1" applyNumberFormat="1" applyFill="1" applyBorder="1" applyAlignment="1" applyProtection="1">
      <alignment horizontal="center" vertical="center"/>
      <protection locked="0"/>
    </xf>
    <xf numFmtId="164" fontId="2" fillId="3" borderId="0" xfId="0" applyNumberFormat="1" applyFont="1" applyFill="1" applyAlignment="1">
      <alignment horizontal="left" vertical="center"/>
    </xf>
    <xf numFmtId="3" fontId="32" fillId="4" borderId="50" xfId="0" applyNumberFormat="1" applyFont="1" applyFill="1" applyBorder="1" applyAlignment="1" applyProtection="1">
      <alignment horizontal="center" vertical="center"/>
      <protection locked="0"/>
    </xf>
    <xf numFmtId="3" fontId="32" fillId="4" borderId="16" xfId="0" applyNumberFormat="1" applyFont="1" applyFill="1" applyBorder="1" applyAlignment="1" applyProtection="1">
      <alignment horizontal="center" vertical="center"/>
      <protection locked="0"/>
    </xf>
    <xf numFmtId="3" fontId="32" fillId="4" borderId="5" xfId="0" applyNumberFormat="1" applyFont="1" applyFill="1" applyBorder="1" applyAlignment="1" applyProtection="1">
      <alignment horizontal="center" vertical="center"/>
      <protection locked="0"/>
    </xf>
    <xf numFmtId="3" fontId="32" fillId="4" borderId="20" xfId="0" applyNumberFormat="1" applyFont="1" applyFill="1" applyBorder="1" applyAlignment="1" applyProtection="1">
      <alignment horizontal="center" vertical="center"/>
      <protection locked="0"/>
    </xf>
    <xf numFmtId="0" fontId="4" fillId="4" borderId="1" xfId="1" applyFill="1" applyBorder="1" applyAlignment="1" applyProtection="1">
      <alignment horizontal="left" vertical="center"/>
      <protection locked="0"/>
    </xf>
    <xf numFmtId="0" fontId="4" fillId="4" borderId="2" xfId="1" applyFill="1" applyBorder="1" applyAlignment="1" applyProtection="1">
      <alignment horizontal="left" vertical="center"/>
      <protection locked="0"/>
    </xf>
    <xf numFmtId="0" fontId="4" fillId="4" borderId="3" xfId="1" applyFill="1" applyBorder="1" applyAlignment="1" applyProtection="1">
      <alignment horizontal="left" vertical="center"/>
      <protection locked="0"/>
    </xf>
    <xf numFmtId="0" fontId="4" fillId="4" borderId="1" xfId="0" applyFont="1" applyFill="1" applyBorder="1" applyAlignment="1" applyProtection="1">
      <alignment horizontal="left" vertical="center"/>
      <protection locked="0"/>
    </xf>
    <xf numFmtId="0" fontId="4" fillId="4" borderId="2" xfId="0" applyFont="1" applyFill="1" applyBorder="1" applyAlignment="1" applyProtection="1">
      <alignment horizontal="left" vertical="center"/>
      <protection locked="0"/>
    </xf>
    <xf numFmtId="0" fontId="4" fillId="4" borderId="3" xfId="0" applyFont="1" applyFill="1" applyBorder="1" applyAlignment="1" applyProtection="1">
      <alignment horizontal="left" vertical="center"/>
      <protection locked="0"/>
    </xf>
    <xf numFmtId="165" fontId="4" fillId="4" borderId="49" xfId="1" applyNumberFormat="1" applyFill="1" applyBorder="1" applyAlignment="1" applyProtection="1">
      <alignment horizontal="center" vertical="center"/>
      <protection locked="0"/>
    </xf>
    <xf numFmtId="165" fontId="4" fillId="4" borderId="7" xfId="1" applyNumberFormat="1" applyFill="1" applyBorder="1" applyAlignment="1" applyProtection="1">
      <alignment horizontal="center" vertical="center"/>
      <protection locked="0"/>
    </xf>
    <xf numFmtId="165" fontId="4" fillId="4" borderId="48" xfId="1" applyNumberFormat="1" applyFill="1" applyBorder="1" applyAlignment="1" applyProtection="1">
      <alignment horizontal="center" vertical="center"/>
      <protection locked="0"/>
    </xf>
    <xf numFmtId="3" fontId="32" fillId="4" borderId="49" xfId="0" applyNumberFormat="1" applyFont="1" applyFill="1" applyBorder="1" applyAlignment="1" applyProtection="1">
      <alignment horizontal="center" vertical="center"/>
      <protection locked="0"/>
    </xf>
    <xf numFmtId="3" fontId="32" fillId="4" borderId="7" xfId="0" applyNumberFormat="1" applyFont="1" applyFill="1" applyBorder="1" applyAlignment="1" applyProtection="1">
      <alignment horizontal="center" vertical="center"/>
      <protection locked="0"/>
    </xf>
    <xf numFmtId="3" fontId="32" fillId="4" borderId="48" xfId="0" applyNumberFormat="1" applyFont="1" applyFill="1" applyBorder="1" applyAlignment="1" applyProtection="1">
      <alignment horizontal="center" vertical="center"/>
      <protection locked="0"/>
    </xf>
    <xf numFmtId="3" fontId="32" fillId="4" borderId="53" xfId="2" applyFont="1" applyFill="1" applyBorder="1" applyAlignment="1" applyProtection="1">
      <alignment horizontal="center" vertical="center"/>
      <protection locked="0" hidden="1"/>
    </xf>
    <xf numFmtId="3" fontId="32" fillId="4" borderId="9" xfId="2" applyFont="1" applyFill="1" applyBorder="1" applyAlignment="1" applyProtection="1">
      <alignment horizontal="center" vertical="center"/>
      <protection locked="0" hidden="1"/>
    </xf>
    <xf numFmtId="3" fontId="32" fillId="4" borderId="52" xfId="2" applyFont="1" applyFill="1" applyBorder="1" applyAlignment="1" applyProtection="1">
      <alignment horizontal="center" vertical="center"/>
      <protection locked="0" hidden="1"/>
    </xf>
    <xf numFmtId="0" fontId="4" fillId="6" borderId="17" xfId="1" applyFill="1" applyBorder="1" applyAlignment="1">
      <alignment horizontal="center" vertical="center"/>
    </xf>
    <xf numFmtId="0" fontId="4" fillId="6" borderId="18" xfId="1" applyFill="1" applyBorder="1" applyAlignment="1">
      <alignment horizontal="center" vertical="center"/>
    </xf>
    <xf numFmtId="0" fontId="4" fillId="6" borderId="19" xfId="1" applyFill="1" applyBorder="1" applyAlignment="1">
      <alignment horizontal="left" vertical="center" wrapText="1"/>
    </xf>
    <xf numFmtId="0" fontId="4" fillId="6" borderId="2" xfId="1" applyFill="1" applyBorder="1" applyAlignment="1">
      <alignment horizontal="left" vertical="center" wrapText="1"/>
    </xf>
    <xf numFmtId="0" fontId="4" fillId="6" borderId="3" xfId="1" applyFill="1" applyBorder="1" applyAlignment="1">
      <alignment horizontal="left" vertical="center" wrapText="1"/>
    </xf>
    <xf numFmtId="0" fontId="3" fillId="5" borderId="0" xfId="0" applyFont="1" applyFill="1" applyAlignment="1">
      <alignment horizontal="left" vertical="center"/>
    </xf>
    <xf numFmtId="0" fontId="13" fillId="6" borderId="0" xfId="1" applyFont="1" applyFill="1" applyAlignment="1">
      <alignment horizontal="left" vertical="center"/>
    </xf>
    <xf numFmtId="0" fontId="3" fillId="2" borderId="0" xfId="0" applyFont="1" applyFill="1" applyAlignment="1" applyProtection="1">
      <alignment horizontal="left" vertical="center"/>
      <protection locked="0"/>
    </xf>
    <xf numFmtId="0" fontId="4" fillId="2" borderId="0" xfId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4" fillId="5" borderId="6" xfId="1" applyFill="1" applyBorder="1" applyAlignment="1">
      <alignment horizontal="left" vertical="center" wrapText="1"/>
    </xf>
    <xf numFmtId="0" fontId="4" fillId="5" borderId="7" xfId="1" applyFill="1" applyBorder="1" applyAlignment="1">
      <alignment horizontal="left" vertical="center" wrapText="1"/>
    </xf>
    <xf numFmtId="3" fontId="4" fillId="6" borderId="1" xfId="1" applyNumberFormat="1" applyFill="1" applyBorder="1" applyAlignment="1">
      <alignment horizontal="center" vertical="center"/>
    </xf>
    <xf numFmtId="3" fontId="4" fillId="6" borderId="3" xfId="1" applyNumberFormat="1" applyFill="1" applyBorder="1" applyAlignment="1">
      <alignment horizontal="center" vertical="center"/>
    </xf>
    <xf numFmtId="0" fontId="4" fillId="6" borderId="6" xfId="1" applyFill="1" applyBorder="1" applyAlignment="1">
      <alignment horizontal="center" vertical="center"/>
    </xf>
    <xf numFmtId="0" fontId="4" fillId="6" borderId="10" xfId="1" applyFill="1" applyBorder="1" applyAlignment="1">
      <alignment horizontal="center" vertical="center"/>
    </xf>
    <xf numFmtId="0" fontId="4" fillId="6" borderId="12" xfId="1" applyFill="1" applyBorder="1" applyAlignment="1">
      <alignment horizontal="center" vertical="center"/>
    </xf>
    <xf numFmtId="0" fontId="4" fillId="6" borderId="13" xfId="1" applyFill="1" applyBorder="1" applyAlignment="1">
      <alignment horizontal="center" vertical="center"/>
    </xf>
    <xf numFmtId="0" fontId="4" fillId="6" borderId="14" xfId="1" applyFill="1" applyBorder="1" applyAlignment="1">
      <alignment horizontal="left" vertical="center" wrapText="1"/>
    </xf>
    <xf numFmtId="0" fontId="4" fillId="6" borderId="15" xfId="1" applyFill="1" applyBorder="1" applyAlignment="1">
      <alignment horizontal="left" vertical="center" wrapText="1"/>
    </xf>
    <xf numFmtId="0" fontId="4" fillId="6" borderId="21" xfId="1" applyFill="1" applyBorder="1" applyAlignment="1">
      <alignment horizontal="center" vertical="center"/>
    </xf>
    <xf numFmtId="0" fontId="4" fillId="6" borderId="22" xfId="1" applyFill="1" applyBorder="1" applyAlignment="1">
      <alignment horizontal="center" vertical="center"/>
    </xf>
    <xf numFmtId="0" fontId="4" fillId="6" borderId="23" xfId="1" applyFill="1" applyBorder="1" applyAlignment="1">
      <alignment horizontal="left" vertical="center"/>
    </xf>
    <xf numFmtId="0" fontId="4" fillId="6" borderId="24" xfId="1" applyFill="1" applyBorder="1" applyAlignment="1">
      <alignment horizontal="left" vertical="center"/>
    </xf>
    <xf numFmtId="0" fontId="4" fillId="6" borderId="26" xfId="1" applyFill="1" applyBorder="1" applyAlignment="1">
      <alignment horizontal="center" vertical="center"/>
    </xf>
    <xf numFmtId="0" fontId="4" fillId="6" borderId="27" xfId="1" applyFill="1" applyBorder="1" applyAlignment="1">
      <alignment horizontal="center" vertical="center"/>
    </xf>
    <xf numFmtId="0" fontId="4" fillId="6" borderId="28" xfId="1" applyFill="1" applyBorder="1" applyAlignment="1">
      <alignment horizontal="left" vertical="center" wrapText="1"/>
    </xf>
    <xf numFmtId="0" fontId="4" fillId="6" borderId="9" xfId="1" applyFill="1" applyBorder="1" applyAlignment="1">
      <alignment horizontal="left" vertical="center" wrapText="1"/>
    </xf>
    <xf numFmtId="0" fontId="4" fillId="6" borderId="23" xfId="1" applyFill="1" applyBorder="1" applyAlignment="1">
      <alignment horizontal="left" vertical="center" wrapText="1"/>
    </xf>
    <xf numFmtId="0" fontId="4" fillId="6" borderId="24" xfId="1" applyFill="1" applyBorder="1" applyAlignment="1">
      <alignment horizontal="left" vertical="center" wrapText="1"/>
    </xf>
    <xf numFmtId="0" fontId="4" fillId="6" borderId="33" xfId="1" applyFill="1" applyBorder="1" applyAlignment="1">
      <alignment horizontal="left" vertical="center" wrapText="1"/>
    </xf>
    <xf numFmtId="3" fontId="32" fillId="4" borderId="54" xfId="0" applyNumberFormat="1" applyFont="1" applyFill="1" applyBorder="1" applyAlignment="1" applyProtection="1">
      <alignment horizontal="center" vertical="center"/>
      <protection locked="0"/>
    </xf>
    <xf numFmtId="3" fontId="32" fillId="4" borderId="25" xfId="0" applyNumberFormat="1" applyFont="1" applyFill="1" applyBorder="1" applyAlignment="1" applyProtection="1">
      <alignment horizontal="center" vertical="center"/>
      <protection locked="0"/>
    </xf>
    <xf numFmtId="165" fontId="4" fillId="4" borderId="50" xfId="1" applyNumberFormat="1" applyFill="1" applyBorder="1" applyAlignment="1" applyProtection="1">
      <alignment horizontal="center" vertical="center"/>
      <protection locked="0"/>
    </xf>
    <xf numFmtId="165" fontId="4" fillId="4" borderId="16" xfId="1" applyNumberForma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7" fillId="2" borderId="0" xfId="0" applyFont="1" applyFill="1" applyAlignment="1">
      <alignment horizontal="left" vertical="center"/>
    </xf>
    <xf numFmtId="0" fontId="29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14" fontId="23" fillId="0" borderId="0" xfId="1" applyNumberFormat="1" applyFont="1" applyAlignment="1">
      <alignment horizontal="center" vertical="center"/>
    </xf>
    <xf numFmtId="0" fontId="4" fillId="0" borderId="1" xfId="1" applyBorder="1" applyAlignment="1">
      <alignment horizontal="center" vertical="center"/>
    </xf>
    <xf numFmtId="0" fontId="4" fillId="0" borderId="2" xfId="1" applyBorder="1" applyAlignment="1">
      <alignment horizontal="center" vertical="center"/>
    </xf>
    <xf numFmtId="0" fontId="4" fillId="0" borderId="3" xfId="1" applyBorder="1" applyAlignment="1">
      <alignment horizontal="center" vertical="center"/>
    </xf>
    <xf numFmtId="9" fontId="4" fillId="0" borderId="37" xfId="1" applyNumberFormat="1" applyBorder="1" applyAlignment="1">
      <alignment horizontal="center" vertical="center"/>
    </xf>
    <xf numFmtId="9" fontId="4" fillId="0" borderId="42" xfId="1" applyNumberFormat="1" applyBorder="1" applyAlignment="1">
      <alignment horizontal="center" vertical="center"/>
    </xf>
    <xf numFmtId="0" fontId="8" fillId="0" borderId="17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0" fontId="8" fillId="0" borderId="24" xfId="1" applyFont="1" applyBorder="1" applyAlignment="1">
      <alignment horizontal="center" vertical="center"/>
    </xf>
    <xf numFmtId="0" fontId="8" fillId="0" borderId="26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8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9" fillId="0" borderId="19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vertical="center" wrapText="1"/>
    </xf>
    <xf numFmtId="0" fontId="9" fillId="0" borderId="3" xfId="1" applyFont="1" applyBorder="1" applyAlignment="1">
      <alignment horizontal="left" vertical="center" wrapText="1"/>
    </xf>
    <xf numFmtId="164" fontId="21" fillId="7" borderId="0" xfId="0" applyNumberFormat="1" applyFont="1" applyFill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9" fillId="0" borderId="6" xfId="1" applyFont="1" applyBorder="1" applyAlignment="1">
      <alignment horizontal="left" vertical="center" wrapText="1"/>
    </xf>
    <xf numFmtId="0" fontId="9" fillId="0" borderId="7" xfId="1" applyFont="1" applyBorder="1" applyAlignment="1">
      <alignment horizontal="left" vertical="center" wrapText="1"/>
    </xf>
    <xf numFmtId="0" fontId="9" fillId="0" borderId="43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/>
    </xf>
    <xf numFmtId="0" fontId="9" fillId="0" borderId="7" xfId="1" applyFont="1" applyBorder="1" applyAlignment="1">
      <alignment horizontal="left" vertical="center"/>
    </xf>
    <xf numFmtId="0" fontId="9" fillId="0" borderId="43" xfId="1" applyFont="1" applyBorder="1" applyAlignment="1">
      <alignment horizontal="left" vertical="center"/>
    </xf>
    <xf numFmtId="0" fontId="9" fillId="0" borderId="12" xfId="1" applyFont="1" applyBorder="1" applyAlignment="1">
      <alignment horizontal="left" vertical="center" wrapText="1"/>
    </xf>
    <xf numFmtId="0" fontId="9" fillId="0" borderId="15" xfId="1" applyFont="1" applyBorder="1" applyAlignment="1">
      <alignment horizontal="left" vertical="center" wrapText="1"/>
    </xf>
    <xf numFmtId="0" fontId="9" fillId="0" borderId="44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21" xfId="1" applyFont="1" applyBorder="1" applyAlignment="1">
      <alignment horizontal="left" vertical="center"/>
    </xf>
    <xf numFmtId="0" fontId="9" fillId="0" borderId="24" xfId="1" applyFont="1" applyBorder="1" applyAlignment="1">
      <alignment horizontal="left" vertical="center"/>
    </xf>
    <xf numFmtId="0" fontId="9" fillId="0" borderId="33" xfId="1" applyFont="1" applyBorder="1" applyAlignment="1">
      <alignment horizontal="left" vertical="center"/>
    </xf>
    <xf numFmtId="0" fontId="9" fillId="0" borderId="14" xfId="1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/>
    </xf>
    <xf numFmtId="0" fontId="9" fillId="0" borderId="44" xfId="1" applyFont="1" applyBorder="1" applyAlignment="1">
      <alignment horizontal="left" vertical="center"/>
    </xf>
    <xf numFmtId="0" fontId="9" fillId="0" borderId="19" xfId="1" applyFont="1" applyBorder="1" applyAlignment="1">
      <alignment horizontal="left" vertical="center"/>
    </xf>
    <xf numFmtId="0" fontId="9" fillId="0" borderId="2" xfId="1" applyFont="1" applyBorder="1" applyAlignment="1">
      <alignment horizontal="left" vertical="center"/>
    </xf>
    <xf numFmtId="0" fontId="9" fillId="0" borderId="3" xfId="1" applyFont="1" applyBorder="1" applyAlignment="1">
      <alignment horizontal="left" vertical="center"/>
    </xf>
    <xf numFmtId="0" fontId="8" fillId="0" borderId="22" xfId="1" applyFont="1" applyBorder="1" applyAlignment="1">
      <alignment horizontal="center" vertical="center"/>
    </xf>
    <xf numFmtId="0" fontId="10" fillId="0" borderId="19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vertical="center" wrapText="1"/>
    </xf>
    <xf numFmtId="0" fontId="10" fillId="0" borderId="3" xfId="1" applyFont="1" applyBorder="1" applyAlignment="1">
      <alignment horizontal="left" vertical="center" wrapText="1"/>
    </xf>
    <xf numFmtId="0" fontId="10" fillId="0" borderId="23" xfId="1" applyFont="1" applyBorder="1" applyAlignment="1">
      <alignment horizontal="left" vertical="center" wrapText="1"/>
    </xf>
    <xf numFmtId="0" fontId="10" fillId="0" borderId="24" xfId="1" applyFont="1" applyBorder="1" applyAlignment="1">
      <alignment horizontal="left" vertical="center" wrapText="1"/>
    </xf>
    <xf numFmtId="0" fontId="10" fillId="0" borderId="33" xfId="1" applyFont="1" applyBorder="1" applyAlignment="1">
      <alignment horizontal="left" vertical="center" wrapText="1"/>
    </xf>
    <xf numFmtId="0" fontId="9" fillId="0" borderId="23" xfId="1" applyFont="1" applyBorder="1" applyAlignment="1">
      <alignment horizontal="left" vertical="center" wrapText="1"/>
    </xf>
    <xf numFmtId="0" fontId="9" fillId="0" borderId="24" xfId="1" applyFont="1" applyBorder="1" applyAlignment="1">
      <alignment horizontal="left" vertical="center" wrapText="1"/>
    </xf>
    <xf numFmtId="0" fontId="9" fillId="0" borderId="33" xfId="1" applyFont="1" applyBorder="1" applyAlignment="1">
      <alignment horizontal="left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</cellXfs>
  <cellStyles count="6">
    <cellStyle name="Čárka" xfId="4" builtinId="3"/>
    <cellStyle name="DP_z" xfId="2" xr:uid="{00000000-0005-0000-0000-000001000000}"/>
    <cellStyle name="Normální" xfId="0" builtinId="0"/>
    <cellStyle name="Normální 2" xfId="5" xr:uid="{D7A06E0F-AA73-40E6-98F9-A30DDC2E6199}"/>
    <cellStyle name="normální_kalkule 4.6.09" xfId="1" xr:uid="{00000000-0005-0000-0000-000003000000}"/>
    <cellStyle name="Procenta" xfId="3" builtinId="5"/>
  </cellStyles>
  <dxfs count="5"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FF0000"/>
      </font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18" Type="http://schemas.openxmlformats.org/officeDocument/2006/relationships/customXml" Target="../customXml/item6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7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57343</xdr:colOff>
      <xdr:row>3</xdr:row>
      <xdr:rowOff>9605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03BDDFF-4F5F-A973-25EA-CFD81A361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81318" cy="57158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48</xdr:row>
      <xdr:rowOff>19050</xdr:rowOff>
    </xdr:from>
    <xdr:to>
      <xdr:col>7</xdr:col>
      <xdr:colOff>57343</xdr:colOff>
      <xdr:row>51</xdr:row>
      <xdr:rowOff>9605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0D31A28-06A7-6AE7-13F7-771C266432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049125"/>
          <a:ext cx="1381318" cy="57158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ojnar Tomas" id="{8446490A-77DE-4BFB-99FB-E4315BA01F11}" userId="Tojnar Tomas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" personId="{8446490A-77DE-4BFB-99FB-E4315BA01F11}" id="{8A499C68-50A8-4BCB-89BD-F8E24451DAF9}">
    <text>Zobrazené paušály v comboboxu !vstupni_data"B18"</text>
  </threadedComment>
  <threadedComment ref="B37" personId="{8446490A-77DE-4BFB-99FB-E4315BA01F11}" id="{848CB1E7-AA8B-4052-A339-F8CFE8F5FE0F}">
    <text>Zobrazené paušály v comboboxu !vstupni_data"B18"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autoPageBreaks="0"/>
  </sheetPr>
  <dimension ref="A1:XAZ113"/>
  <sheetViews>
    <sheetView tabSelected="1" zoomScaleNormal="100" zoomScalePageLayoutView="145" workbookViewId="0">
      <selection activeCell="B3" sqref="B3:I3"/>
    </sheetView>
  </sheetViews>
  <sheetFormatPr defaultColWidth="0" defaultRowHeight="14.4" zeroHeight="1" x14ac:dyDescent="0.3"/>
  <cols>
    <col min="1" max="1" width="7.33203125" customWidth="1"/>
    <col min="2" max="2" width="3.33203125" customWidth="1"/>
    <col min="3" max="3" width="1.6640625" customWidth="1"/>
    <col min="4" max="4" width="4.44140625" customWidth="1"/>
    <col min="5" max="5" width="3.33203125" customWidth="1"/>
    <col min="6" max="6" width="3.44140625" customWidth="1"/>
    <col min="7" max="7" width="6.33203125" customWidth="1"/>
    <col min="8" max="8" width="2.88671875" customWidth="1"/>
    <col min="9" max="9" width="21" customWidth="1"/>
    <col min="10" max="10" width="4.6640625" customWidth="1"/>
    <col min="11" max="11" width="5.33203125" customWidth="1"/>
    <col min="12" max="12" width="5.6640625" customWidth="1"/>
    <col min="13" max="13" width="4" customWidth="1"/>
    <col min="14" max="14" width="6" customWidth="1"/>
    <col min="15" max="16" width="2.6640625" customWidth="1"/>
    <col min="17" max="17" width="10.44140625" customWidth="1"/>
    <col min="18" max="18" width="13.44140625" customWidth="1"/>
    <col min="19" max="19" width="1.6640625" customWidth="1"/>
    <col min="20" max="20" width="13.33203125" customWidth="1"/>
    <col min="21" max="21" width="1.6640625" customWidth="1"/>
    <col min="22" max="22" width="13.33203125" customWidth="1"/>
    <col min="23" max="23" width="1.6640625" customWidth="1"/>
    <col min="24" max="27" width="1.6640625" hidden="1"/>
    <col min="28" max="28" width="1.44140625" hidden="1"/>
    <col min="29" max="50" width="1.6640625" hidden="1"/>
    <col min="51" max="51" width="1.5546875" hidden="1"/>
    <col min="52" max="238" width="1.6640625" hidden="1"/>
    <col min="239" max="239" width="0.5546875" hidden="1"/>
    <col min="240" max="340" width="1.6640625" hidden="1"/>
    <col min="341" max="341" width="0.44140625" hidden="1"/>
    <col min="342" max="542" width="1.6640625" hidden="1"/>
    <col min="543" max="543" width="0.44140625" hidden="1"/>
    <col min="544" max="644" width="1.6640625" hidden="1"/>
    <col min="645" max="645" width="0.44140625" hidden="1"/>
    <col min="646" max="7614" width="1.6640625" hidden="1"/>
    <col min="7615" max="7615" width="0.88671875" hidden="1"/>
    <col min="7616" max="7620" width="1.6640625" hidden="1"/>
    <col min="7621" max="7621" width="1" hidden="1"/>
    <col min="7622" max="7796" width="1.6640625" hidden="1"/>
    <col min="7797" max="7797" width="1.44140625" hidden="1"/>
    <col min="7798" max="8132" width="1.6640625" hidden="1"/>
    <col min="8133" max="8133" width="1.109375" hidden="1"/>
    <col min="8134" max="16273" width="1.6640625" hidden="1"/>
    <col min="16274" max="16274" width="3.44140625" hidden="1"/>
    <col min="16275" max="16275" width="1.6640625" hidden="1"/>
    <col min="16277" max="16384" width="1.6640625" hidden="1"/>
  </cols>
  <sheetData>
    <row r="1" spans="1:23" ht="15.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38" t="s">
        <v>259</v>
      </c>
      <c r="S1" s="238"/>
      <c r="T1" s="238"/>
      <c r="U1" s="238"/>
      <c r="V1" s="238"/>
      <c r="W1" s="238"/>
    </row>
    <row r="2" spans="1:23" ht="15.6" x14ac:dyDescent="0.3">
      <c r="A2" s="1"/>
      <c r="B2" s="2" t="s">
        <v>0</v>
      </c>
      <c r="C2" s="2"/>
      <c r="D2" s="2"/>
      <c r="E2" s="2"/>
      <c r="F2" s="2"/>
      <c r="G2" s="2"/>
      <c r="H2" s="1"/>
      <c r="I2" s="1"/>
      <c r="J2" s="1"/>
      <c r="K2" s="1"/>
      <c r="L2" s="1"/>
      <c r="M2" s="1"/>
      <c r="N2" s="2"/>
      <c r="O2" s="2"/>
      <c r="P2" s="2"/>
      <c r="Q2" s="2"/>
      <c r="R2" s="2"/>
      <c r="S2" s="2"/>
      <c r="T2" s="2"/>
      <c r="U2" s="2"/>
      <c r="V2" s="2"/>
      <c r="W2" s="147"/>
    </row>
    <row r="3" spans="1:23" ht="15.6" x14ac:dyDescent="0.3">
      <c r="A3" s="1"/>
      <c r="B3" s="246"/>
      <c r="C3" s="247"/>
      <c r="D3" s="247"/>
      <c r="E3" s="247"/>
      <c r="F3" s="247"/>
      <c r="G3" s="247"/>
      <c r="H3" s="247"/>
      <c r="I3" s="248"/>
      <c r="J3" s="1"/>
      <c r="K3" s="1"/>
      <c r="L3" s="1"/>
      <c r="M3" s="1"/>
      <c r="N3" s="2"/>
      <c r="O3" s="1"/>
      <c r="P3" s="1"/>
      <c r="Q3" s="3"/>
      <c r="R3" s="147"/>
      <c r="S3" s="147"/>
      <c r="T3" s="147"/>
      <c r="U3" s="147"/>
      <c r="V3" s="147"/>
      <c r="W3" s="147"/>
    </row>
    <row r="4" spans="1:23" ht="15.6" x14ac:dyDescent="0.3">
      <c r="A4" s="1"/>
      <c r="B4" s="4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3"/>
      <c r="R4" s="147"/>
      <c r="S4" s="147"/>
      <c r="T4" s="147"/>
      <c r="U4" s="147"/>
      <c r="V4" s="147"/>
      <c r="W4" s="147"/>
    </row>
    <row r="5" spans="1:23" ht="15.6" x14ac:dyDescent="0.3">
      <c r="A5" s="1"/>
      <c r="B5" s="2" t="s">
        <v>1</v>
      </c>
      <c r="C5" s="2"/>
      <c r="D5" s="2"/>
      <c r="E5" s="2"/>
      <c r="F5" s="2"/>
      <c r="G5" s="2"/>
      <c r="H5" s="2"/>
      <c r="I5" s="1"/>
      <c r="J5" s="1"/>
      <c r="K5" s="1"/>
      <c r="L5" s="2" t="s">
        <v>2</v>
      </c>
      <c r="M5" s="2"/>
      <c r="N5" s="2"/>
      <c r="O5" s="1"/>
      <c r="P5" s="1"/>
      <c r="Q5" s="3"/>
      <c r="R5" s="147"/>
      <c r="S5" s="147"/>
      <c r="T5" s="147"/>
      <c r="U5" s="147"/>
      <c r="V5" s="147"/>
      <c r="W5" s="147"/>
    </row>
    <row r="6" spans="1:23" ht="15.6" x14ac:dyDescent="0.3">
      <c r="A6" s="1"/>
      <c r="B6" s="246"/>
      <c r="C6" s="247"/>
      <c r="D6" s="247"/>
      <c r="E6" s="247"/>
      <c r="F6" s="247"/>
      <c r="G6" s="247"/>
      <c r="H6" s="247"/>
      <c r="I6" s="248"/>
      <c r="J6" s="1"/>
      <c r="K6" s="1"/>
      <c r="L6" s="246"/>
      <c r="M6" s="247"/>
      <c r="N6" s="247"/>
      <c r="O6" s="247"/>
      <c r="P6" s="247"/>
      <c r="Q6" s="247"/>
      <c r="R6" s="248"/>
      <c r="S6" s="147"/>
      <c r="T6" s="147"/>
      <c r="U6" s="147"/>
      <c r="V6" s="147"/>
      <c r="W6" s="147"/>
    </row>
    <row r="7" spans="1:23" ht="15.6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3"/>
      <c r="R7" s="147"/>
      <c r="S7" s="147"/>
      <c r="T7" s="147"/>
      <c r="U7" s="147"/>
      <c r="V7" s="147"/>
      <c r="W7" s="147"/>
    </row>
    <row r="8" spans="1:23" x14ac:dyDescent="0.3">
      <c r="A8" s="148"/>
      <c r="B8" s="265" t="s">
        <v>3</v>
      </c>
      <c r="C8" s="265"/>
      <c r="D8" s="265"/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5"/>
      <c r="R8" s="265"/>
      <c r="S8" s="265"/>
      <c r="T8" s="265"/>
      <c r="U8" s="149"/>
      <c r="V8" s="147"/>
      <c r="W8" s="147"/>
    </row>
    <row r="9" spans="1:23" ht="15.6" x14ac:dyDescent="0.3">
      <c r="A9" s="147"/>
      <c r="B9" s="246" t="s">
        <v>132</v>
      </c>
      <c r="C9" s="247"/>
      <c r="D9" s="247"/>
      <c r="E9" s="247"/>
      <c r="F9" s="247"/>
      <c r="G9" s="247"/>
      <c r="H9" s="248"/>
      <c r="I9" s="231" t="s">
        <v>5</v>
      </c>
      <c r="J9" s="147"/>
      <c r="K9" s="147"/>
      <c r="L9" s="1"/>
      <c r="M9" s="1"/>
      <c r="N9" s="147"/>
      <c r="O9" s="1"/>
      <c r="P9" s="1"/>
      <c r="Q9" s="3"/>
      <c r="R9" s="147"/>
      <c r="S9" s="147"/>
      <c r="T9" s="147"/>
      <c r="U9" s="146"/>
      <c r="V9" s="147"/>
      <c r="W9" s="147"/>
    </row>
    <row r="10" spans="1:23" x14ac:dyDescent="0.3">
      <c r="A10" s="147"/>
      <c r="B10" s="151"/>
      <c r="C10" s="148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6"/>
      <c r="V10" s="147"/>
      <c r="W10" s="147"/>
    </row>
    <row r="11" spans="1:23" x14ac:dyDescent="0.3">
      <c r="A11" s="147"/>
      <c r="B11" s="266" t="s">
        <v>6</v>
      </c>
      <c r="C11" s="266"/>
      <c r="D11" s="266"/>
      <c r="E11" s="266"/>
      <c r="F11" s="266"/>
      <c r="G11" s="266"/>
      <c r="H11" s="266"/>
      <c r="I11" s="266"/>
      <c r="J11" s="266"/>
      <c r="K11" s="266"/>
      <c r="L11" s="266"/>
      <c r="M11" s="266"/>
      <c r="N11" s="266"/>
      <c r="O11" s="266"/>
      <c r="P11" s="266"/>
      <c r="Q11" s="266"/>
      <c r="R11" s="6" t="s">
        <v>7</v>
      </c>
      <c r="S11" s="7"/>
      <c r="T11" s="6" t="s">
        <v>8</v>
      </c>
      <c r="U11" s="146"/>
      <c r="V11" s="6" t="s">
        <v>9</v>
      </c>
      <c r="W11" s="147"/>
    </row>
    <row r="12" spans="1:23" x14ac:dyDescent="0.3">
      <c r="A12" s="211">
        <f>IF(B12="",1,VLOOKUP(B12,cinnosti!A32:D121,3,FALSE))</f>
        <v>1</v>
      </c>
      <c r="B12" s="243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5"/>
      <c r="Q12" s="147"/>
      <c r="R12" s="152" t="str">
        <f>IFERROR(IF(OR(B9="Neuplatňuje",B12=""),"",VLOOKUP(B12,cinnosti!A38:B121,2,FALSE)),"")</f>
        <v/>
      </c>
      <c r="S12" s="147"/>
      <c r="T12" s="152" t="str">
        <f>IFERROR(IF(OR(B9&lt;&gt;"Uplatňuje - modifikované",B12=""),"",VLOOKUP(B12,cinnosti!A2:C32,3,FALSE)),"")</f>
        <v/>
      </c>
      <c r="U12" s="146"/>
      <c r="V12" s="232"/>
      <c r="W12" s="147"/>
    </row>
    <row r="13" spans="1:23" ht="0.75" customHeight="1" x14ac:dyDescent="0.3">
      <c r="A13" s="147"/>
      <c r="B13" s="150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7"/>
      <c r="R13" s="153"/>
      <c r="S13" s="147"/>
      <c r="T13" s="153"/>
      <c r="U13" s="146"/>
      <c r="V13" s="147"/>
      <c r="W13" s="147"/>
    </row>
    <row r="14" spans="1:23" hidden="1" x14ac:dyDescent="0.3">
      <c r="A14" s="147"/>
      <c r="B14" s="267" t="s">
        <v>11</v>
      </c>
      <c r="C14" s="267"/>
      <c r="D14" s="267"/>
      <c r="E14" s="267"/>
      <c r="F14" s="267"/>
      <c r="G14" s="267"/>
      <c r="H14" s="267"/>
      <c r="I14" s="267"/>
      <c r="J14" s="267"/>
      <c r="K14" s="267"/>
      <c r="L14" s="267"/>
      <c r="M14" s="267"/>
      <c r="N14" s="267"/>
      <c r="O14" s="267"/>
      <c r="P14" s="267"/>
      <c r="Q14" s="267"/>
      <c r="R14" s="267"/>
      <c r="S14" s="267"/>
      <c r="T14" s="267"/>
      <c r="U14" s="267"/>
      <c r="V14" s="147"/>
      <c r="W14" s="147"/>
    </row>
    <row r="15" spans="1:23" hidden="1" x14ac:dyDescent="0.3">
      <c r="A15" s="147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147"/>
      <c r="R15" s="153"/>
      <c r="S15" s="153"/>
      <c r="T15" s="153"/>
      <c r="U15" s="146"/>
      <c r="V15" s="147"/>
      <c r="W15" s="147"/>
    </row>
    <row r="16" spans="1:23" hidden="1" x14ac:dyDescent="0.3">
      <c r="A16" s="146"/>
      <c r="B16" s="146"/>
      <c r="C16" s="146"/>
      <c r="D16" s="146"/>
      <c r="E16" s="146"/>
      <c r="F16" s="148"/>
      <c r="G16" s="148"/>
      <c r="H16" s="147"/>
      <c r="I16" s="146"/>
      <c r="J16" s="146"/>
      <c r="K16" s="146"/>
      <c r="L16" s="146"/>
      <c r="M16" s="146"/>
      <c r="N16" s="146"/>
      <c r="O16" s="146"/>
      <c r="P16" s="146"/>
      <c r="Q16" s="146"/>
      <c r="R16" s="147"/>
      <c r="S16" s="147"/>
      <c r="T16" s="153"/>
      <c r="U16" s="146"/>
      <c r="V16" s="147"/>
      <c r="W16" s="147"/>
    </row>
    <row r="17" spans="1:23" x14ac:dyDescent="0.3">
      <c r="A17" s="146"/>
      <c r="B17" s="147"/>
      <c r="C17" s="147"/>
      <c r="D17" s="147"/>
      <c r="E17" s="147"/>
      <c r="F17" s="148"/>
      <c r="G17" s="148"/>
      <c r="H17" s="147"/>
      <c r="I17" s="146"/>
      <c r="J17" s="146"/>
      <c r="K17" s="146"/>
      <c r="L17" s="146"/>
      <c r="M17" s="146"/>
      <c r="N17" s="146"/>
      <c r="O17" s="146"/>
      <c r="P17" s="146"/>
      <c r="Q17" s="146"/>
      <c r="R17" s="147"/>
      <c r="S17" s="147"/>
      <c r="T17" s="147"/>
      <c r="U17" s="146"/>
      <c r="V17" s="147"/>
      <c r="W17" s="147"/>
    </row>
    <row r="18" spans="1:23" ht="15" thickBot="1" x14ac:dyDescent="0.35">
      <c r="A18" s="154"/>
      <c r="B18" s="155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</row>
    <row r="19" spans="1:23" ht="15" thickBot="1" x14ac:dyDescent="0.35">
      <c r="A19" s="154"/>
      <c r="B19" s="268" t="s">
        <v>12</v>
      </c>
      <c r="C19" s="269"/>
      <c r="D19" s="269"/>
      <c r="E19" s="269"/>
      <c r="F19" s="269"/>
      <c r="G19" s="269"/>
      <c r="H19" s="269"/>
      <c r="I19" s="269"/>
      <c r="J19" s="269"/>
      <c r="K19" s="269"/>
      <c r="L19" s="269"/>
      <c r="M19" s="269"/>
      <c r="N19" s="269"/>
      <c r="O19" s="269"/>
      <c r="P19" s="269"/>
      <c r="Q19" s="269"/>
      <c r="R19" s="269"/>
      <c r="S19" s="156"/>
      <c r="T19" s="249">
        <v>0</v>
      </c>
      <c r="U19" s="250"/>
      <c r="V19" s="251"/>
      <c r="W19" s="154"/>
    </row>
    <row r="20" spans="1:23" x14ac:dyDescent="0.3">
      <c r="A20" s="154"/>
      <c r="B20" s="155"/>
      <c r="C20" s="154"/>
      <c r="D20" s="157"/>
      <c r="E20" s="155"/>
      <c r="F20" s="155"/>
      <c r="G20" s="155"/>
      <c r="H20" s="155"/>
      <c r="I20" s="158"/>
      <c r="J20" s="158"/>
      <c r="K20" s="158"/>
      <c r="L20" s="158"/>
      <c r="M20" s="158"/>
      <c r="N20" s="158"/>
      <c r="O20" s="158"/>
      <c r="P20" s="158"/>
      <c r="Q20" s="159"/>
      <c r="R20" s="159"/>
      <c r="S20" s="159"/>
      <c r="T20" s="160"/>
      <c r="U20" s="154"/>
      <c r="V20" s="154"/>
      <c r="W20" s="154"/>
    </row>
    <row r="21" spans="1:23" x14ac:dyDescent="0.3">
      <c r="A21" s="161"/>
      <c r="B21" s="162"/>
      <c r="C21" s="161"/>
      <c r="D21" s="163"/>
      <c r="E21" s="162"/>
      <c r="F21" s="162"/>
      <c r="G21" s="162"/>
      <c r="H21" s="162"/>
      <c r="I21" s="164"/>
      <c r="J21" s="164"/>
      <c r="K21" s="164"/>
      <c r="L21" s="164"/>
      <c r="M21" s="164"/>
      <c r="N21" s="164"/>
      <c r="O21" s="164"/>
      <c r="P21" s="164"/>
      <c r="Q21" s="165"/>
      <c r="R21" s="165"/>
      <c r="S21" s="165"/>
      <c r="T21" s="166"/>
      <c r="U21" s="8"/>
      <c r="V21" s="166"/>
      <c r="W21" s="166"/>
    </row>
    <row r="22" spans="1:23" ht="15" thickBot="1" x14ac:dyDescent="0.35">
      <c r="A22" s="161"/>
      <c r="B22" s="264" t="s">
        <v>13</v>
      </c>
      <c r="C22" s="264"/>
      <c r="D22" s="264"/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8"/>
      <c r="V22" s="166"/>
      <c r="W22" s="166"/>
    </row>
    <row r="23" spans="1:23" ht="15" customHeight="1" thickBot="1" x14ac:dyDescent="0.35">
      <c r="A23" s="161"/>
      <c r="B23" s="272">
        <v>31</v>
      </c>
      <c r="C23" s="273"/>
      <c r="D23" s="167" t="s">
        <v>14</v>
      </c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9"/>
      <c r="R23" s="169"/>
      <c r="S23" s="169"/>
      <c r="T23" s="252">
        <v>0</v>
      </c>
      <c r="U23" s="253"/>
      <c r="V23" s="254"/>
      <c r="W23" s="166"/>
    </row>
    <row r="24" spans="1:23" ht="15" thickBot="1" x14ac:dyDescent="0.35">
      <c r="A24" s="161"/>
      <c r="B24" s="162"/>
      <c r="C24" s="162"/>
      <c r="D24" s="162"/>
      <c r="E24" s="162"/>
      <c r="F24" s="170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1"/>
      <c r="R24" s="171"/>
      <c r="S24" s="171"/>
      <c r="T24" s="172"/>
      <c r="U24" s="8"/>
      <c r="V24" s="166"/>
      <c r="W24" s="166"/>
    </row>
    <row r="25" spans="1:23" x14ac:dyDescent="0.3">
      <c r="A25" s="161"/>
      <c r="B25" s="274">
        <v>37</v>
      </c>
      <c r="C25" s="275"/>
      <c r="D25" s="276" t="s">
        <v>15</v>
      </c>
      <c r="E25" s="277"/>
      <c r="F25" s="277"/>
      <c r="G25" s="277"/>
      <c r="H25" s="277"/>
      <c r="I25" s="277"/>
      <c r="J25" s="277"/>
      <c r="K25" s="277"/>
      <c r="L25" s="277"/>
      <c r="M25" s="277"/>
      <c r="N25" s="277"/>
      <c r="O25" s="277"/>
      <c r="P25" s="277"/>
      <c r="Q25" s="277"/>
      <c r="R25" s="277"/>
      <c r="S25" s="173"/>
      <c r="T25" s="239">
        <v>0</v>
      </c>
      <c r="U25" s="239"/>
      <c r="V25" s="240"/>
      <c r="W25" s="166"/>
    </row>
    <row r="26" spans="1:23" ht="18" hidden="1" customHeight="1" x14ac:dyDescent="0.3">
      <c r="A26" s="161"/>
      <c r="B26" s="258">
        <v>38</v>
      </c>
      <c r="C26" s="259"/>
      <c r="D26" s="260" t="s">
        <v>16</v>
      </c>
      <c r="E26" s="261"/>
      <c r="F26" s="261"/>
      <c r="G26" s="261"/>
      <c r="H26" s="261"/>
      <c r="I26" s="261"/>
      <c r="J26" s="261"/>
      <c r="K26" s="261"/>
      <c r="L26" s="261"/>
      <c r="M26" s="261"/>
      <c r="N26" s="261"/>
      <c r="O26" s="261"/>
      <c r="P26" s="261"/>
      <c r="Q26" s="261"/>
      <c r="R26" s="261"/>
      <c r="S26" s="174"/>
      <c r="T26" s="223">
        <v>0</v>
      </c>
      <c r="U26" s="8"/>
      <c r="V26" s="222"/>
      <c r="W26" s="166"/>
    </row>
    <row r="27" spans="1:23" ht="14.25" customHeight="1" thickBot="1" x14ac:dyDescent="0.35">
      <c r="A27" s="161"/>
      <c r="B27" s="278">
        <v>39</v>
      </c>
      <c r="C27" s="279"/>
      <c r="D27" s="280" t="s">
        <v>17</v>
      </c>
      <c r="E27" s="281"/>
      <c r="F27" s="281"/>
      <c r="G27" s="281"/>
      <c r="H27" s="281"/>
      <c r="I27" s="281"/>
      <c r="J27" s="281"/>
      <c r="K27" s="281"/>
      <c r="L27" s="281"/>
      <c r="M27" s="281"/>
      <c r="N27" s="281"/>
      <c r="O27" s="281"/>
      <c r="P27" s="281"/>
      <c r="Q27" s="281"/>
      <c r="R27" s="281"/>
      <c r="S27" s="175"/>
      <c r="T27" s="255">
        <v>0</v>
      </c>
      <c r="U27" s="256"/>
      <c r="V27" s="257"/>
      <c r="W27" s="166"/>
    </row>
    <row r="28" spans="1:23" ht="9" hidden="1" customHeight="1" thickBot="1" x14ac:dyDescent="0.35">
      <c r="A28" s="161"/>
      <c r="B28" s="282">
        <v>44</v>
      </c>
      <c r="C28" s="283"/>
      <c r="D28" s="284" t="s">
        <v>18</v>
      </c>
      <c r="E28" s="285"/>
      <c r="F28" s="285"/>
      <c r="G28" s="285"/>
      <c r="H28" s="285"/>
      <c r="I28" s="285"/>
      <c r="J28" s="285"/>
      <c r="K28" s="285"/>
      <c r="L28" s="285"/>
      <c r="M28" s="285"/>
      <c r="N28" s="285"/>
      <c r="O28" s="285"/>
      <c r="P28" s="285"/>
      <c r="Q28" s="285"/>
      <c r="R28" s="285"/>
      <c r="S28" s="176"/>
      <c r="T28" s="177">
        <v>0</v>
      </c>
      <c r="U28" s="8"/>
      <c r="W28" s="166"/>
    </row>
    <row r="29" spans="1:23" x14ac:dyDescent="0.3">
      <c r="A29" s="161"/>
      <c r="B29" s="162"/>
      <c r="C29" s="162"/>
      <c r="D29" s="162"/>
      <c r="E29" s="162"/>
      <c r="F29" s="170"/>
      <c r="G29" s="170"/>
      <c r="H29" s="170"/>
      <c r="I29" s="170"/>
      <c r="J29" s="170"/>
      <c r="K29" s="170"/>
      <c r="L29" s="170"/>
      <c r="M29" s="170"/>
      <c r="N29" s="170"/>
      <c r="O29" s="170"/>
      <c r="P29" s="170"/>
      <c r="Q29" s="171"/>
      <c r="R29" s="171"/>
      <c r="S29" s="171"/>
      <c r="T29" s="178"/>
      <c r="U29" s="8"/>
      <c r="V29" s="166"/>
      <c r="W29" s="166"/>
    </row>
    <row r="30" spans="1:23" ht="15" thickBot="1" x14ac:dyDescent="0.35">
      <c r="A30" s="161"/>
      <c r="B30" s="219" t="s">
        <v>19</v>
      </c>
      <c r="C30" s="219"/>
      <c r="D30" s="219"/>
      <c r="E30" s="219"/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8"/>
      <c r="V30" s="166"/>
      <c r="W30" s="185"/>
    </row>
    <row r="31" spans="1:23" ht="27" customHeight="1" x14ac:dyDescent="0.3">
      <c r="A31" s="161"/>
      <c r="B31" s="274">
        <v>101</v>
      </c>
      <c r="C31" s="275"/>
      <c r="D31" s="179" t="s">
        <v>20</v>
      </c>
      <c r="E31" s="180"/>
      <c r="F31" s="18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0"/>
      <c r="S31" s="181"/>
      <c r="T31" s="239">
        <v>0</v>
      </c>
      <c r="U31" s="239"/>
      <c r="V31" s="240"/>
      <c r="W31" s="185"/>
    </row>
    <row r="32" spans="1:23" ht="27.6" customHeight="1" x14ac:dyDescent="0.3">
      <c r="A32" s="161"/>
      <c r="B32" s="258">
        <v>102</v>
      </c>
      <c r="C32" s="259"/>
      <c r="D32" s="182" t="s">
        <v>21</v>
      </c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4"/>
      <c r="R32" s="270" t="str">
        <f xml:space="preserve">
IF(B9="Uplatňuje - modifikované",IF(_101="","",IF(AND(B9="Uplatňuje - modifikované",T12&lt;&gt;"")=TRUE,IF(_102/1000000&gt;=(IF(B16="x",1,2))*IF(OR(A12=18,A12=20),0.4,R12),T12*1000000*(IF(B16="x",1,2)),_101*T12),"")),IF(B9="Uplatňuje - individuální",IF(_101="","",IF(AND(B9="Uplatňuje - individuální",V12&lt;&gt;"")=TRUE,IF(_102/1000000&gt;=(IF(B16="x",1,2))*IF(OR(A12=18,A12=20),0.4,R12),V12*1000000*(IF(B16="x",1,2)),_101*V12),"")),""))</f>
        <v/>
      </c>
      <c r="S32" s="271"/>
      <c r="T32" s="234">
        <v>0</v>
      </c>
      <c r="U32" s="234"/>
      <c r="V32" s="235"/>
      <c r="W32" s="185"/>
    </row>
    <row r="33" spans="1:23" ht="24.6" customHeight="1" x14ac:dyDescent="0.3">
      <c r="A33" s="161"/>
      <c r="B33" s="258">
        <v>104</v>
      </c>
      <c r="C33" s="259"/>
      <c r="D33" s="182" t="s">
        <v>22</v>
      </c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74"/>
      <c r="R33" s="270" t="str">
        <f>IF(_101="","",IF(OR(AND(B9="Uplatňuje - modifikované",T12&lt;&gt;""),AND(B9="Uplatňuje - individuální",V12&lt;&gt;""))=TRUE,_101-_102mod,""))</f>
        <v/>
      </c>
      <c r="S33" s="271"/>
      <c r="T33" s="234">
        <v>0</v>
      </c>
      <c r="U33" s="234"/>
      <c r="V33" s="235"/>
      <c r="W33" s="185"/>
    </row>
    <row r="34" spans="1:23" ht="18" hidden="1" customHeight="1" x14ac:dyDescent="0.3">
      <c r="A34" s="161"/>
      <c r="B34" s="258">
        <v>105</v>
      </c>
      <c r="C34" s="259"/>
      <c r="D34" s="260" t="s">
        <v>23</v>
      </c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1"/>
      <c r="S34" s="262"/>
      <c r="T34" s="220">
        <v>0</v>
      </c>
      <c r="U34" s="221"/>
      <c r="V34" s="224"/>
      <c r="W34" s="185"/>
    </row>
    <row r="35" spans="1:23" ht="27" customHeight="1" x14ac:dyDescent="0.3">
      <c r="A35" s="161"/>
      <c r="B35" s="258">
        <v>106</v>
      </c>
      <c r="C35" s="259"/>
      <c r="D35" s="260" t="s">
        <v>24</v>
      </c>
      <c r="E35" s="261"/>
      <c r="F35" s="261"/>
      <c r="G35" s="261"/>
      <c r="H35" s="261"/>
      <c r="I35" s="261"/>
      <c r="J35" s="261"/>
      <c r="K35" s="261"/>
      <c r="L35" s="261"/>
      <c r="M35" s="261"/>
      <c r="N35" s="261"/>
      <c r="O35" s="261"/>
      <c r="P35" s="261"/>
      <c r="Q35" s="261"/>
      <c r="R35" s="261"/>
      <c r="S35" s="262"/>
      <c r="T35" s="234">
        <v>0</v>
      </c>
      <c r="U35" s="234"/>
      <c r="V35" s="235"/>
      <c r="W35" s="185"/>
    </row>
    <row r="36" spans="1:23" ht="32.25" customHeight="1" x14ac:dyDescent="0.3">
      <c r="A36" s="161"/>
      <c r="B36" s="258">
        <v>107</v>
      </c>
      <c r="C36" s="259"/>
      <c r="D36" s="260" t="s">
        <v>25</v>
      </c>
      <c r="E36" s="261"/>
      <c r="F36" s="261"/>
      <c r="G36" s="261"/>
      <c r="H36" s="261"/>
      <c r="I36" s="261"/>
      <c r="J36" s="261"/>
      <c r="K36" s="261"/>
      <c r="L36" s="261"/>
      <c r="M36" s="261"/>
      <c r="N36" s="261"/>
      <c r="O36" s="261"/>
      <c r="P36" s="261"/>
      <c r="Q36" s="261"/>
      <c r="R36" s="261"/>
      <c r="S36" s="262"/>
      <c r="T36" s="234">
        <v>0</v>
      </c>
      <c r="U36" s="234"/>
      <c r="V36" s="235"/>
      <c r="W36" s="185"/>
    </row>
    <row r="37" spans="1:23" ht="28.5" customHeight="1" x14ac:dyDescent="0.3">
      <c r="A37" s="161"/>
      <c r="B37" s="258">
        <v>108</v>
      </c>
      <c r="C37" s="259"/>
      <c r="D37" s="260" t="s">
        <v>26</v>
      </c>
      <c r="E37" s="261"/>
      <c r="F37" s="261"/>
      <c r="G37" s="261"/>
      <c r="H37" s="261"/>
      <c r="I37" s="261"/>
      <c r="J37" s="261"/>
      <c r="K37" s="261"/>
      <c r="L37" s="261"/>
      <c r="M37" s="261"/>
      <c r="N37" s="261"/>
      <c r="O37" s="261"/>
      <c r="P37" s="261"/>
      <c r="Q37" s="261"/>
      <c r="R37" s="261"/>
      <c r="S37" s="262"/>
      <c r="T37" s="234">
        <v>0</v>
      </c>
      <c r="U37" s="234"/>
      <c r="V37" s="235"/>
      <c r="W37" s="185"/>
    </row>
    <row r="38" spans="1:23" ht="29.25" customHeight="1" x14ac:dyDescent="0.3">
      <c r="A38" s="161"/>
      <c r="B38" s="258">
        <v>109</v>
      </c>
      <c r="C38" s="259"/>
      <c r="D38" s="260" t="s">
        <v>27</v>
      </c>
      <c r="E38" s="261"/>
      <c r="F38" s="261"/>
      <c r="G38" s="261"/>
      <c r="H38" s="261"/>
      <c r="I38" s="261"/>
      <c r="J38" s="261"/>
      <c r="K38" s="261"/>
      <c r="L38" s="261"/>
      <c r="M38" s="261"/>
      <c r="N38" s="261"/>
      <c r="O38" s="261"/>
      <c r="P38" s="261"/>
      <c r="Q38" s="261"/>
      <c r="R38" s="261"/>
      <c r="S38" s="262"/>
      <c r="T38" s="234">
        <v>0</v>
      </c>
      <c r="U38" s="234"/>
      <c r="V38" s="235"/>
      <c r="W38" s="185"/>
    </row>
    <row r="39" spans="1:23" ht="29.25" customHeight="1" thickBot="1" x14ac:dyDescent="0.35">
      <c r="A39" s="161"/>
      <c r="B39" s="278">
        <v>110</v>
      </c>
      <c r="C39" s="279"/>
      <c r="D39" s="286" t="s">
        <v>28</v>
      </c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8"/>
      <c r="T39" s="236">
        <v>0</v>
      </c>
      <c r="U39" s="236"/>
      <c r="V39" s="237"/>
      <c r="W39" s="185"/>
    </row>
    <row r="40" spans="1:23" x14ac:dyDescent="0.3">
      <c r="A40" s="161"/>
      <c r="B40" s="161"/>
      <c r="C40" s="161"/>
      <c r="D40" s="161"/>
      <c r="E40" s="161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85"/>
      <c r="R40" s="185"/>
      <c r="S40" s="185"/>
      <c r="T40" s="185"/>
      <c r="U40" s="185"/>
      <c r="V40" s="185"/>
      <c r="W40" s="185"/>
    </row>
    <row r="41" spans="1:23" ht="15" thickBot="1" x14ac:dyDescent="0.35">
      <c r="A41" s="161"/>
      <c r="B41" s="264" t="s">
        <v>29</v>
      </c>
      <c r="C41" s="264"/>
      <c r="D41" s="264"/>
      <c r="E41" s="264"/>
      <c r="F41" s="264"/>
      <c r="G41" s="264"/>
      <c r="H41" s="264"/>
      <c r="I41" s="264"/>
      <c r="J41" s="264"/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185"/>
      <c r="V41" s="185"/>
      <c r="W41" s="185"/>
    </row>
    <row r="42" spans="1:23" x14ac:dyDescent="0.3">
      <c r="A42" s="161"/>
      <c r="B42" s="274">
        <v>46</v>
      </c>
      <c r="C42" s="275"/>
      <c r="D42" s="179" t="s">
        <v>30</v>
      </c>
      <c r="E42" s="180"/>
      <c r="F42" s="180"/>
      <c r="G42" s="180"/>
      <c r="H42" s="180"/>
      <c r="I42" s="180"/>
      <c r="J42" s="180"/>
      <c r="K42" s="180"/>
      <c r="L42" s="180"/>
      <c r="M42" s="180"/>
      <c r="N42" s="180"/>
      <c r="O42" s="180"/>
      <c r="P42" s="180"/>
      <c r="Q42" s="180"/>
      <c r="R42" s="180"/>
      <c r="S42" s="181"/>
      <c r="T42" s="239">
        <v>0</v>
      </c>
      <c r="U42" s="239"/>
      <c r="V42" s="240"/>
      <c r="W42" s="185"/>
    </row>
    <row r="43" spans="1:23" x14ac:dyDescent="0.3">
      <c r="A43" s="161"/>
      <c r="B43" s="258">
        <v>47</v>
      </c>
      <c r="C43" s="259"/>
      <c r="D43" s="182" t="s">
        <v>31</v>
      </c>
      <c r="E43" s="183"/>
      <c r="F43" s="183"/>
      <c r="G43" s="183"/>
      <c r="H43" s="183"/>
      <c r="I43" s="183"/>
      <c r="J43" s="183"/>
      <c r="K43" s="183"/>
      <c r="L43" s="183"/>
      <c r="M43" s="183"/>
      <c r="N43" s="183"/>
      <c r="O43" s="183"/>
      <c r="P43" s="183"/>
      <c r="Q43" s="183"/>
      <c r="R43" s="183"/>
      <c r="S43" s="174"/>
      <c r="T43" s="241">
        <v>0</v>
      </c>
      <c r="U43" s="241"/>
      <c r="V43" s="242"/>
      <c r="W43" s="185"/>
    </row>
    <row r="44" spans="1:23" x14ac:dyDescent="0.3">
      <c r="A44" s="161"/>
      <c r="B44" s="258">
        <v>48</v>
      </c>
      <c r="C44" s="259"/>
      <c r="D44" s="182" t="s">
        <v>32</v>
      </c>
      <c r="E44" s="183"/>
      <c r="F44" s="183"/>
      <c r="G44" s="183"/>
      <c r="H44" s="183"/>
      <c r="I44" s="183"/>
      <c r="J44" s="183"/>
      <c r="K44" s="183"/>
      <c r="L44" s="183"/>
      <c r="M44" s="183"/>
      <c r="N44" s="183"/>
      <c r="O44" s="183"/>
      <c r="P44" s="183"/>
      <c r="Q44" s="183"/>
      <c r="R44" s="183"/>
      <c r="S44" s="174"/>
      <c r="T44" s="241">
        <v>0</v>
      </c>
      <c r="U44" s="241"/>
      <c r="V44" s="242"/>
      <c r="W44" s="185"/>
    </row>
    <row r="45" spans="1:23" x14ac:dyDescent="0.3">
      <c r="A45" s="161"/>
      <c r="B45" s="258">
        <v>49</v>
      </c>
      <c r="C45" s="259"/>
      <c r="D45" s="182" t="s">
        <v>33</v>
      </c>
      <c r="E45" s="183"/>
      <c r="F45" s="183"/>
      <c r="G45" s="183"/>
      <c r="H45" s="183"/>
      <c r="I45" s="183"/>
      <c r="J45" s="186"/>
      <c r="K45" s="186"/>
      <c r="L45" s="186"/>
      <c r="M45" s="186"/>
      <c r="N45" s="186"/>
      <c r="O45" s="186"/>
      <c r="P45" s="186"/>
      <c r="Q45" s="184"/>
      <c r="R45" s="184"/>
      <c r="S45" s="184"/>
      <c r="T45" s="241">
        <v>0</v>
      </c>
      <c r="U45" s="241"/>
      <c r="V45" s="242"/>
      <c r="W45" s="185"/>
    </row>
    <row r="46" spans="1:23" x14ac:dyDescent="0.3">
      <c r="A46" s="161"/>
      <c r="B46" s="258">
        <v>50</v>
      </c>
      <c r="C46" s="259"/>
      <c r="D46" s="182" t="s">
        <v>34</v>
      </c>
      <c r="E46" s="183"/>
      <c r="F46" s="183"/>
      <c r="G46" s="183"/>
      <c r="H46" s="183"/>
      <c r="I46" s="183"/>
      <c r="J46" s="186"/>
      <c r="K46" s="186"/>
      <c r="L46" s="186"/>
      <c r="M46" s="186"/>
      <c r="N46" s="186"/>
      <c r="O46" s="186"/>
      <c r="P46" s="186"/>
      <c r="Q46" s="184"/>
      <c r="R46" s="184"/>
      <c r="S46" s="184"/>
      <c r="T46" s="241">
        <v>0</v>
      </c>
      <c r="U46" s="241"/>
      <c r="V46" s="242"/>
      <c r="W46" s="185"/>
    </row>
    <row r="47" spans="1:23" x14ac:dyDescent="0.3">
      <c r="A47" s="161"/>
      <c r="B47" s="258">
        <v>51</v>
      </c>
      <c r="C47" s="259"/>
      <c r="D47" s="182" t="s">
        <v>35</v>
      </c>
      <c r="E47" s="183"/>
      <c r="F47" s="183"/>
      <c r="G47" s="183"/>
      <c r="H47" s="183"/>
      <c r="I47" s="183"/>
      <c r="J47" s="186"/>
      <c r="K47" s="186"/>
      <c r="L47" s="186"/>
      <c r="M47" s="186"/>
      <c r="N47" s="186"/>
      <c r="O47" s="186"/>
      <c r="P47" s="186"/>
      <c r="Q47" s="184"/>
      <c r="R47" s="184"/>
      <c r="S47" s="184"/>
      <c r="T47" s="241">
        <v>0</v>
      </c>
      <c r="U47" s="241"/>
      <c r="V47" s="242"/>
      <c r="W47" s="185"/>
    </row>
    <row r="48" spans="1:23" x14ac:dyDescent="0.3">
      <c r="A48" s="161"/>
      <c r="B48" s="258">
        <v>52</v>
      </c>
      <c r="C48" s="259"/>
      <c r="D48" s="182" t="s">
        <v>36</v>
      </c>
      <c r="E48" s="183"/>
      <c r="F48" s="183"/>
      <c r="G48" s="183"/>
      <c r="H48" s="183"/>
      <c r="I48" s="183"/>
      <c r="J48" s="186"/>
      <c r="K48" s="186"/>
      <c r="L48" s="186"/>
      <c r="M48" s="186"/>
      <c r="N48" s="186"/>
      <c r="O48" s="186"/>
      <c r="P48" s="186"/>
      <c r="Q48" s="184"/>
      <c r="R48" s="184"/>
      <c r="S48" s="184"/>
      <c r="T48" s="241">
        <v>0</v>
      </c>
      <c r="U48" s="241"/>
      <c r="V48" s="242"/>
      <c r="W48" s="185"/>
    </row>
    <row r="49" spans="1:23" ht="15" thickBot="1" x14ac:dyDescent="0.35">
      <c r="A49" s="161"/>
      <c r="B49" s="278">
        <v>53</v>
      </c>
      <c r="C49" s="279"/>
      <c r="D49" s="189" t="s">
        <v>37</v>
      </c>
      <c r="E49" s="190"/>
      <c r="F49" s="190"/>
      <c r="G49" s="190"/>
      <c r="H49" s="190"/>
      <c r="I49" s="190"/>
      <c r="J49" s="218"/>
      <c r="K49" s="218"/>
      <c r="L49" s="218"/>
      <c r="M49" s="218"/>
      <c r="N49" s="218"/>
      <c r="O49" s="218"/>
      <c r="P49" s="218"/>
      <c r="Q49" s="191"/>
      <c r="R49" s="191"/>
      <c r="S49" s="191"/>
      <c r="T49" s="289">
        <v>0</v>
      </c>
      <c r="U49" s="289"/>
      <c r="V49" s="290"/>
      <c r="W49" s="185"/>
    </row>
    <row r="50" spans="1:23" x14ac:dyDescent="0.3">
      <c r="A50" s="161"/>
      <c r="B50" s="161"/>
      <c r="C50" s="161"/>
      <c r="D50" s="161"/>
      <c r="E50" s="161"/>
      <c r="F50" s="170"/>
      <c r="G50" s="170"/>
      <c r="H50" s="170"/>
      <c r="I50" s="170"/>
      <c r="J50" s="170"/>
      <c r="K50" s="170"/>
      <c r="L50" s="170"/>
      <c r="M50" s="170"/>
      <c r="N50" s="170"/>
      <c r="O50" s="170"/>
      <c r="P50" s="170"/>
      <c r="Q50" s="185"/>
      <c r="R50" s="185"/>
      <c r="S50" s="185"/>
      <c r="T50" s="185"/>
      <c r="U50" s="185"/>
      <c r="V50" s="185"/>
      <c r="W50" s="185"/>
    </row>
    <row r="51" spans="1:23" ht="15" thickBot="1" x14ac:dyDescent="0.35">
      <c r="A51" s="161"/>
      <c r="B51" s="264" t="s">
        <v>38</v>
      </c>
      <c r="C51" s="264"/>
      <c r="D51" s="264"/>
      <c r="E51" s="264"/>
      <c r="F51" s="264"/>
      <c r="G51" s="264"/>
      <c r="H51" s="264"/>
      <c r="I51" s="264"/>
      <c r="J51" s="264"/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185"/>
      <c r="V51" s="185"/>
      <c r="W51" s="185"/>
    </row>
    <row r="52" spans="1:23" ht="15" customHeight="1" x14ac:dyDescent="0.3">
      <c r="A52" s="161"/>
      <c r="B52" s="274">
        <v>64</v>
      </c>
      <c r="C52" s="275"/>
      <c r="D52" s="179" t="s">
        <v>39</v>
      </c>
      <c r="E52" s="180"/>
      <c r="F52" s="180"/>
      <c r="G52" s="180"/>
      <c r="H52" s="180"/>
      <c r="I52" s="180"/>
      <c r="J52" s="192"/>
      <c r="K52" s="192"/>
      <c r="L52" s="192"/>
      <c r="M52" s="192"/>
      <c r="N52" s="192"/>
      <c r="O52" s="192"/>
      <c r="P52" s="192"/>
      <c r="Q52" s="181"/>
      <c r="R52" s="181"/>
      <c r="S52" s="181"/>
      <c r="T52" s="291">
        <v>0</v>
      </c>
      <c r="U52" s="291"/>
      <c r="V52" s="292"/>
      <c r="W52" s="185"/>
    </row>
    <row r="53" spans="1:23" ht="15" customHeight="1" x14ac:dyDescent="0.3">
      <c r="A53" s="161"/>
      <c r="B53" s="258" t="s">
        <v>40</v>
      </c>
      <c r="C53" s="259"/>
      <c r="D53" s="182" t="s">
        <v>41</v>
      </c>
      <c r="E53" s="183"/>
      <c r="F53" s="183"/>
      <c r="G53" s="183"/>
      <c r="H53" s="183"/>
      <c r="I53" s="183"/>
      <c r="J53" s="186"/>
      <c r="K53" s="186"/>
      <c r="L53" s="186"/>
      <c r="M53" s="186"/>
      <c r="N53" s="186"/>
      <c r="O53" s="186"/>
      <c r="P53" s="186"/>
      <c r="Q53" s="184"/>
      <c r="R53" s="184"/>
      <c r="S53" s="184"/>
      <c r="T53" s="234">
        <v>0</v>
      </c>
      <c r="U53" s="234"/>
      <c r="V53" s="235"/>
      <c r="W53" s="185"/>
    </row>
    <row r="54" spans="1:23" x14ac:dyDescent="0.3">
      <c r="A54" s="161"/>
      <c r="B54" s="258" t="s">
        <v>42</v>
      </c>
      <c r="C54" s="259"/>
      <c r="D54" s="182" t="s">
        <v>43</v>
      </c>
      <c r="E54" s="183"/>
      <c r="F54" s="183"/>
      <c r="G54" s="183"/>
      <c r="H54" s="183"/>
      <c r="I54" s="183"/>
      <c r="J54" s="216"/>
      <c r="K54" s="216"/>
      <c r="L54" s="216"/>
      <c r="M54" s="216"/>
      <c r="N54" s="216"/>
      <c r="O54" s="216"/>
      <c r="P54" s="216"/>
      <c r="Q54" s="174"/>
      <c r="R54" s="174"/>
      <c r="S54" s="174"/>
      <c r="T54" s="234">
        <v>0</v>
      </c>
      <c r="U54" s="234"/>
      <c r="V54" s="235"/>
      <c r="W54" s="185"/>
    </row>
    <row r="55" spans="1:23" ht="29.25" customHeight="1" x14ac:dyDescent="0.3">
      <c r="A55" s="161"/>
      <c r="B55" s="258">
        <v>66</v>
      </c>
      <c r="C55" s="259"/>
      <c r="D55" s="260" t="s">
        <v>44</v>
      </c>
      <c r="E55" s="261"/>
      <c r="F55" s="261"/>
      <c r="G55" s="261"/>
      <c r="H55" s="261"/>
      <c r="I55" s="261"/>
      <c r="J55" s="261"/>
      <c r="K55" s="261"/>
      <c r="L55" s="261"/>
      <c r="M55" s="261"/>
      <c r="N55" s="261"/>
      <c r="O55" s="261"/>
      <c r="P55" s="261"/>
      <c r="Q55" s="261"/>
      <c r="R55" s="261"/>
      <c r="S55" s="262"/>
      <c r="T55" s="234">
        <v>0</v>
      </c>
      <c r="U55" s="234"/>
      <c r="V55" s="235"/>
      <c r="W55" s="185"/>
    </row>
    <row r="56" spans="1:23" ht="27" customHeight="1" x14ac:dyDescent="0.3">
      <c r="A56" s="161"/>
      <c r="B56" s="258">
        <v>67</v>
      </c>
      <c r="C56" s="259"/>
      <c r="D56" s="260" t="s">
        <v>45</v>
      </c>
      <c r="E56" s="261"/>
      <c r="F56" s="261"/>
      <c r="G56" s="261"/>
      <c r="H56" s="261"/>
      <c r="I56" s="261"/>
      <c r="J56" s="261"/>
      <c r="K56" s="261"/>
      <c r="L56" s="261"/>
      <c r="M56" s="261"/>
      <c r="N56" s="261"/>
      <c r="O56" s="261"/>
      <c r="P56" s="261"/>
      <c r="Q56" s="261"/>
      <c r="R56" s="261"/>
      <c r="S56" s="262"/>
      <c r="T56" s="234">
        <v>0</v>
      </c>
      <c r="U56" s="234"/>
      <c r="V56" s="235"/>
      <c r="W56" s="185"/>
    </row>
    <row r="57" spans="1:23" x14ac:dyDescent="0.3">
      <c r="A57" s="161"/>
      <c r="B57" s="258">
        <v>68</v>
      </c>
      <c r="C57" s="259"/>
      <c r="D57" s="182" t="s">
        <v>46</v>
      </c>
      <c r="E57" s="183"/>
      <c r="F57" s="183"/>
      <c r="G57" s="183"/>
      <c r="H57" s="183"/>
      <c r="I57" s="183"/>
      <c r="J57" s="216"/>
      <c r="K57" s="216"/>
      <c r="L57" s="216"/>
      <c r="M57" s="216"/>
      <c r="N57" s="216"/>
      <c r="O57" s="216"/>
      <c r="P57" s="216"/>
      <c r="Q57" s="174"/>
      <c r="R57" s="174"/>
      <c r="S57" s="174"/>
      <c r="T57" s="234">
        <v>0</v>
      </c>
      <c r="U57" s="234"/>
      <c r="V57" s="235"/>
      <c r="W57" s="185"/>
    </row>
    <row r="58" spans="1:23" x14ac:dyDescent="0.3">
      <c r="A58" s="161"/>
      <c r="B58" s="258">
        <v>69</v>
      </c>
      <c r="C58" s="259"/>
      <c r="D58" s="182" t="s">
        <v>47</v>
      </c>
      <c r="E58" s="183"/>
      <c r="F58" s="183"/>
      <c r="G58" s="183"/>
      <c r="H58" s="183"/>
      <c r="I58" s="183"/>
      <c r="J58" s="216"/>
      <c r="K58" s="216"/>
      <c r="L58" s="216"/>
      <c r="M58" s="216"/>
      <c r="N58" s="216"/>
      <c r="O58" s="216"/>
      <c r="P58" s="216"/>
      <c r="Q58" s="174"/>
      <c r="R58" s="174"/>
      <c r="S58" s="174"/>
      <c r="T58" s="234">
        <v>0</v>
      </c>
      <c r="U58" s="234"/>
      <c r="V58" s="235"/>
      <c r="W58" s="185"/>
    </row>
    <row r="59" spans="1:23" x14ac:dyDescent="0.3">
      <c r="A59" s="161"/>
      <c r="B59" s="258" t="s">
        <v>48</v>
      </c>
      <c r="C59" s="259"/>
      <c r="D59" s="187" t="s">
        <v>49</v>
      </c>
      <c r="E59" s="188"/>
      <c r="F59" s="188"/>
      <c r="G59" s="188"/>
      <c r="H59" s="188"/>
      <c r="I59" s="188"/>
      <c r="J59" s="193"/>
      <c r="K59" s="193"/>
      <c r="L59" s="193"/>
      <c r="M59" s="193"/>
      <c r="N59" s="193"/>
      <c r="O59" s="193"/>
      <c r="P59" s="193"/>
      <c r="Q59" s="194"/>
      <c r="R59" s="194"/>
      <c r="S59" s="194"/>
      <c r="T59" s="234">
        <v>0</v>
      </c>
      <c r="U59" s="234"/>
      <c r="V59" s="235"/>
      <c r="W59" s="185"/>
    </row>
    <row r="60" spans="1:23" x14ac:dyDescent="0.3">
      <c r="A60" s="161"/>
      <c r="B60" s="258" t="s">
        <v>50</v>
      </c>
      <c r="C60" s="259"/>
      <c r="D60" s="187" t="s">
        <v>51</v>
      </c>
      <c r="E60" s="188"/>
      <c r="F60" s="188"/>
      <c r="G60" s="188"/>
      <c r="H60" s="188"/>
      <c r="I60" s="188"/>
      <c r="J60" s="193"/>
      <c r="K60" s="193"/>
      <c r="L60" s="193"/>
      <c r="M60" s="193"/>
      <c r="N60" s="193"/>
      <c r="O60" s="193"/>
      <c r="P60" s="193"/>
      <c r="Q60" s="194"/>
      <c r="R60" s="194"/>
      <c r="S60" s="194"/>
      <c r="T60" s="234">
        <v>0</v>
      </c>
      <c r="U60" s="234"/>
      <c r="V60" s="235"/>
      <c r="W60" s="185"/>
    </row>
    <row r="61" spans="1:23" ht="15" thickBot="1" x14ac:dyDescent="0.35">
      <c r="A61" s="161"/>
      <c r="B61" s="278">
        <v>72</v>
      </c>
      <c r="C61" s="279"/>
      <c r="D61" s="189" t="s">
        <v>52</v>
      </c>
      <c r="E61" s="190"/>
      <c r="F61" s="190"/>
      <c r="G61" s="190"/>
      <c r="H61" s="190"/>
      <c r="I61" s="190"/>
      <c r="J61" s="217"/>
      <c r="K61" s="217"/>
      <c r="L61" s="217"/>
      <c r="M61" s="217"/>
      <c r="N61" s="217"/>
      <c r="O61" s="217"/>
      <c r="P61" s="217"/>
      <c r="Q61" s="175"/>
      <c r="R61" s="175"/>
      <c r="S61" s="175"/>
      <c r="T61" s="236">
        <v>0</v>
      </c>
      <c r="U61" s="236"/>
      <c r="V61" s="237"/>
      <c r="W61" s="185"/>
    </row>
    <row r="62" spans="1:23" x14ac:dyDescent="0.3">
      <c r="A62" s="161"/>
      <c r="B62" s="162"/>
      <c r="C62" s="162"/>
      <c r="D62" s="195"/>
      <c r="E62" s="195"/>
      <c r="F62" s="195"/>
      <c r="G62" s="195"/>
      <c r="H62" s="195"/>
      <c r="I62" s="195"/>
      <c r="J62" s="195"/>
      <c r="K62" s="195"/>
      <c r="L62" s="195"/>
      <c r="M62" s="195"/>
      <c r="N62" s="195"/>
      <c r="O62" s="195"/>
      <c r="P62" s="195"/>
      <c r="Q62" s="196"/>
      <c r="R62" s="196"/>
      <c r="S62" s="196"/>
      <c r="T62" s="196"/>
      <c r="U62" s="8"/>
      <c r="V62" s="185"/>
      <c r="W62" s="185"/>
    </row>
    <row r="63" spans="1:23" x14ac:dyDescent="0.3">
      <c r="A63" s="148"/>
      <c r="B63" s="9"/>
      <c r="C63" s="2"/>
      <c r="D63" s="297"/>
      <c r="E63" s="297"/>
      <c r="F63" s="297"/>
      <c r="G63" s="297"/>
      <c r="H63" s="297"/>
      <c r="I63" s="297"/>
      <c r="J63" s="297"/>
      <c r="K63" s="297"/>
      <c r="L63" s="297"/>
      <c r="M63" s="297"/>
      <c r="N63" s="297"/>
      <c r="O63" s="297"/>
      <c r="P63" s="297"/>
      <c r="Q63" s="297"/>
      <c r="R63" s="297"/>
      <c r="S63" s="297"/>
      <c r="T63" s="297"/>
      <c r="U63" s="148"/>
      <c r="V63" s="202"/>
      <c r="W63" s="202"/>
    </row>
    <row r="64" spans="1:23" x14ac:dyDescent="0.3">
      <c r="A64" s="148"/>
      <c r="B64" s="10" t="str">
        <f>IF(T19&gt;=4000,"x","")</f>
        <v/>
      </c>
      <c r="C64" s="148"/>
      <c r="D64" s="295" t="s">
        <v>53</v>
      </c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149"/>
      <c r="V64" s="202"/>
      <c r="W64" s="202"/>
    </row>
    <row r="65" spans="1:23" x14ac:dyDescent="0.3">
      <c r="A65" s="148"/>
      <c r="B65" s="203"/>
      <c r="C65" s="148"/>
      <c r="D65" s="202"/>
      <c r="E65" s="202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2"/>
      <c r="U65" s="149"/>
      <c r="V65" s="202"/>
      <c r="W65" s="202"/>
    </row>
    <row r="66" spans="1:23" x14ac:dyDescent="0.3">
      <c r="A66" s="148"/>
      <c r="B66" s="10" t="str">
        <f>IF(_31&gt;226800,"x","")</f>
        <v/>
      </c>
      <c r="C66" s="148"/>
      <c r="D66" s="295" t="s">
        <v>54</v>
      </c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149"/>
      <c r="V66" s="202"/>
      <c r="W66" s="202"/>
    </row>
    <row r="67" spans="1:23" x14ac:dyDescent="0.3">
      <c r="A67" s="148"/>
      <c r="B67" s="203"/>
      <c r="C67" s="148"/>
      <c r="D67" s="202"/>
      <c r="E67" s="202"/>
      <c r="F67" s="202"/>
      <c r="G67" s="202"/>
      <c r="H67" s="202"/>
      <c r="I67" s="202"/>
      <c r="J67" s="202"/>
      <c r="K67" s="202"/>
      <c r="L67" s="202"/>
      <c r="M67" s="202"/>
      <c r="N67" s="202"/>
      <c r="O67" s="202"/>
      <c r="P67" s="202"/>
      <c r="Q67" s="202"/>
      <c r="R67" s="202"/>
      <c r="S67" s="202"/>
      <c r="T67" s="202"/>
      <c r="U67" s="149"/>
      <c r="V67" s="202"/>
      <c r="W67" s="202"/>
    </row>
    <row r="68" spans="1:23" ht="26.25" customHeight="1" x14ac:dyDescent="0.3">
      <c r="A68" s="147"/>
      <c r="B68" s="11"/>
      <c r="C68" s="148"/>
      <c r="D68" s="297" t="s">
        <v>55</v>
      </c>
      <c r="E68" s="297"/>
      <c r="F68" s="297"/>
      <c r="G68" s="297"/>
      <c r="H68" s="297"/>
      <c r="I68" s="297"/>
      <c r="J68" s="297"/>
      <c r="K68" s="297"/>
      <c r="L68" s="297"/>
      <c r="M68" s="297"/>
      <c r="N68" s="297"/>
      <c r="O68" s="297"/>
      <c r="P68" s="297"/>
      <c r="Q68" s="297"/>
      <c r="R68" s="297"/>
      <c r="S68" s="297"/>
      <c r="T68" s="297"/>
      <c r="U68" s="146"/>
      <c r="V68" s="202"/>
      <c r="W68" s="202"/>
    </row>
    <row r="69" spans="1:23" x14ac:dyDescent="0.3">
      <c r="A69" s="148"/>
      <c r="B69" s="5"/>
      <c r="C69" s="148"/>
      <c r="D69" s="294" t="s">
        <v>56</v>
      </c>
      <c r="E69" s="293"/>
      <c r="F69" s="293"/>
      <c r="G69" s="293"/>
      <c r="H69" s="293"/>
      <c r="I69" s="293"/>
      <c r="J69" s="293"/>
      <c r="K69" s="293"/>
      <c r="L69" s="293"/>
      <c r="M69" s="293"/>
      <c r="N69" s="293"/>
      <c r="O69" s="293"/>
      <c r="P69" s="293"/>
      <c r="Q69" s="293"/>
      <c r="R69" s="293"/>
      <c r="S69" s="293"/>
      <c r="T69" s="293"/>
      <c r="U69" s="149"/>
      <c r="V69" s="202"/>
      <c r="W69" s="202"/>
    </row>
    <row r="70" spans="1:23" x14ac:dyDescent="0.3">
      <c r="A70" s="147"/>
      <c r="B70" s="11"/>
      <c r="C70" s="148"/>
      <c r="D70" s="147"/>
      <c r="E70" s="147"/>
      <c r="F70" s="147"/>
      <c r="G70" s="147"/>
      <c r="H70" s="147"/>
      <c r="I70" s="148"/>
      <c r="J70" s="148"/>
      <c r="K70" s="148"/>
      <c r="L70" s="148"/>
      <c r="M70" s="148"/>
      <c r="N70" s="148"/>
      <c r="O70" s="148"/>
      <c r="P70" s="148"/>
      <c r="Q70" s="147"/>
      <c r="R70" s="147"/>
      <c r="S70" s="147"/>
      <c r="T70" s="147"/>
      <c r="U70" s="146"/>
      <c r="V70" s="202"/>
      <c r="W70" s="202"/>
    </row>
    <row r="71" spans="1:23" x14ac:dyDescent="0.3">
      <c r="A71" s="148"/>
      <c r="B71" s="5"/>
      <c r="C71" s="148"/>
      <c r="D71" s="293" t="s">
        <v>57</v>
      </c>
      <c r="E71" s="293"/>
      <c r="F71" s="293"/>
      <c r="G71" s="293"/>
      <c r="H71" s="293"/>
      <c r="I71" s="293"/>
      <c r="J71" s="293"/>
      <c r="K71" s="293"/>
      <c r="L71" s="293"/>
      <c r="M71" s="293"/>
      <c r="N71" s="293"/>
      <c r="O71" s="293"/>
      <c r="P71" s="293"/>
      <c r="Q71" s="293"/>
      <c r="R71" s="293"/>
      <c r="S71" s="293"/>
      <c r="T71" s="293"/>
      <c r="U71" s="149"/>
      <c r="V71" s="202"/>
      <c r="W71" s="202"/>
    </row>
    <row r="72" spans="1:23" ht="14.25" customHeight="1" x14ac:dyDescent="0.3">
      <c r="A72" s="147"/>
      <c r="B72" s="11"/>
      <c r="C72" s="148"/>
      <c r="D72" s="147"/>
      <c r="E72" s="147"/>
      <c r="F72" s="147"/>
      <c r="G72" s="147"/>
      <c r="H72" s="147"/>
      <c r="I72" s="148"/>
      <c r="J72" s="148"/>
      <c r="K72" s="148"/>
      <c r="L72" s="148"/>
      <c r="M72" s="148"/>
      <c r="N72" s="148"/>
      <c r="O72" s="148"/>
      <c r="P72" s="148"/>
      <c r="Q72" s="147"/>
      <c r="R72" s="147"/>
      <c r="S72" s="147"/>
      <c r="T72" s="147"/>
      <c r="U72" s="146"/>
      <c r="V72" s="202"/>
      <c r="W72" s="202"/>
    </row>
    <row r="73" spans="1:23" x14ac:dyDescent="0.3">
      <c r="A73" s="148"/>
      <c r="B73" s="5"/>
      <c r="C73" s="148"/>
      <c r="D73" s="293" t="s">
        <v>58</v>
      </c>
      <c r="E73" s="293"/>
      <c r="F73" s="293"/>
      <c r="G73" s="293"/>
      <c r="H73" s="293"/>
      <c r="I73" s="293"/>
      <c r="J73" s="293"/>
      <c r="K73" s="293"/>
      <c r="L73" s="293"/>
      <c r="M73" s="293"/>
      <c r="N73" s="293"/>
      <c r="O73" s="293"/>
      <c r="P73" s="293"/>
      <c r="Q73" s="293"/>
      <c r="R73" s="293"/>
      <c r="S73" s="293"/>
      <c r="T73" s="293"/>
      <c r="U73" s="149"/>
      <c r="V73" s="202"/>
      <c r="W73" s="202"/>
    </row>
    <row r="74" spans="1:23" ht="14.25" customHeight="1" x14ac:dyDescent="0.3">
      <c r="A74" s="147"/>
      <c r="B74" s="11"/>
      <c r="C74" s="148"/>
      <c r="D74" s="147"/>
      <c r="E74" s="147"/>
      <c r="F74" s="147"/>
      <c r="G74" s="147"/>
      <c r="H74" s="147"/>
      <c r="I74" s="148"/>
      <c r="J74" s="148"/>
      <c r="K74" s="148"/>
      <c r="L74" s="148"/>
      <c r="M74" s="148"/>
      <c r="N74" s="148"/>
      <c r="O74" s="148"/>
      <c r="P74" s="148"/>
      <c r="Q74" s="147"/>
      <c r="R74" s="147"/>
      <c r="S74" s="147"/>
      <c r="T74" s="147"/>
      <c r="U74" s="146"/>
      <c r="V74" s="202"/>
      <c r="W74" s="202"/>
    </row>
    <row r="75" spans="1:23" ht="15" customHeight="1" x14ac:dyDescent="0.3">
      <c r="A75" s="148"/>
      <c r="B75" s="5"/>
      <c r="C75" s="148"/>
      <c r="D75" s="293" t="s">
        <v>59</v>
      </c>
      <c r="E75" s="293"/>
      <c r="F75" s="293"/>
      <c r="G75" s="293"/>
      <c r="H75" s="293"/>
      <c r="I75" s="293"/>
      <c r="J75" s="293"/>
      <c r="K75" s="293"/>
      <c r="L75" s="293"/>
      <c r="M75" s="293"/>
      <c r="N75" s="293"/>
      <c r="O75" s="293"/>
      <c r="P75" s="293"/>
      <c r="Q75" s="293"/>
      <c r="R75" s="293"/>
      <c r="S75" s="293"/>
      <c r="T75" s="293"/>
      <c r="U75" s="149"/>
      <c r="V75" s="202"/>
      <c r="W75" s="202"/>
    </row>
    <row r="76" spans="1:23" ht="0.75" hidden="1" customHeight="1" x14ac:dyDescent="0.3">
      <c r="A76" s="147"/>
      <c r="B76" s="11"/>
      <c r="C76" s="148"/>
      <c r="D76" s="147"/>
      <c r="E76" s="147"/>
      <c r="F76" s="147"/>
      <c r="G76" s="147"/>
      <c r="H76" s="147"/>
      <c r="I76" s="148"/>
      <c r="J76" s="148"/>
      <c r="K76" s="148"/>
      <c r="L76" s="148"/>
      <c r="M76" s="148"/>
      <c r="N76" s="148"/>
      <c r="O76" s="148"/>
      <c r="P76" s="148"/>
      <c r="Q76" s="147"/>
      <c r="R76" s="147"/>
      <c r="S76" s="147"/>
      <c r="T76" s="147"/>
      <c r="U76" s="146"/>
      <c r="V76" s="202"/>
      <c r="W76" s="202"/>
    </row>
    <row r="77" spans="1:23" ht="21" hidden="1" customHeight="1" x14ac:dyDescent="0.3">
      <c r="A77" s="148"/>
      <c r="B77" s="5"/>
      <c r="C77" s="148"/>
      <c r="D77" s="296" t="s">
        <v>60</v>
      </c>
      <c r="E77" s="293"/>
      <c r="F77" s="293"/>
      <c r="G77" s="293"/>
      <c r="H77" s="293"/>
      <c r="I77" s="293"/>
      <c r="J77" s="293"/>
      <c r="K77" s="293"/>
      <c r="L77" s="293"/>
      <c r="M77" s="293"/>
      <c r="N77" s="293"/>
      <c r="O77" s="293"/>
      <c r="P77" s="293"/>
      <c r="Q77" s="293"/>
      <c r="R77" s="293"/>
      <c r="S77" s="293"/>
      <c r="T77" s="293"/>
      <c r="U77" s="149"/>
      <c r="V77" s="202"/>
      <c r="W77" s="202"/>
    </row>
    <row r="78" spans="1:23" ht="10.5" customHeight="1" x14ac:dyDescent="0.3">
      <c r="A78" s="147"/>
      <c r="B78" s="11"/>
      <c r="C78" s="148"/>
      <c r="D78" s="147"/>
      <c r="E78" s="147"/>
      <c r="F78" s="147"/>
      <c r="G78" s="147"/>
      <c r="H78" s="147"/>
      <c r="I78" s="148"/>
      <c r="J78" s="148"/>
      <c r="K78" s="148"/>
      <c r="L78" s="148"/>
      <c r="M78" s="148"/>
      <c r="N78" s="148"/>
      <c r="O78" s="148"/>
      <c r="P78" s="148"/>
      <c r="Q78" s="147"/>
      <c r="R78" s="147"/>
      <c r="S78" s="147"/>
      <c r="T78" s="147"/>
      <c r="U78" s="146"/>
      <c r="V78" s="202"/>
      <c r="W78" s="202"/>
    </row>
    <row r="79" spans="1:23" ht="15.75" customHeight="1" x14ac:dyDescent="0.3">
      <c r="A79" s="148"/>
      <c r="B79" s="5"/>
      <c r="C79" s="148"/>
      <c r="D79" s="293" t="s">
        <v>61</v>
      </c>
      <c r="E79" s="293"/>
      <c r="F79" s="293"/>
      <c r="G79" s="293"/>
      <c r="H79" s="293"/>
      <c r="I79" s="293"/>
      <c r="J79" s="293"/>
      <c r="K79" s="293"/>
      <c r="L79" s="293"/>
      <c r="M79" s="293"/>
      <c r="N79" s="293"/>
      <c r="O79" s="293"/>
      <c r="P79" s="293"/>
      <c r="Q79" s="293"/>
      <c r="R79" s="293"/>
      <c r="S79" s="293"/>
      <c r="T79" s="293"/>
      <c r="U79" s="149"/>
      <c r="V79" s="202"/>
      <c r="W79" s="202"/>
    </row>
    <row r="80" spans="1:23" ht="14.25" customHeight="1" x14ac:dyDescent="0.3">
      <c r="A80" s="147"/>
      <c r="B80" s="12"/>
      <c r="C80" s="147"/>
      <c r="D80" s="147"/>
      <c r="E80" s="147"/>
      <c r="F80" s="147"/>
      <c r="G80" s="147"/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6"/>
      <c r="V80" s="202"/>
      <c r="W80" s="202"/>
    </row>
    <row r="81" spans="1:23" hidden="1" x14ac:dyDescent="0.3">
      <c r="A81" s="148"/>
      <c r="B81" s="1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149"/>
      <c r="V81" s="202"/>
      <c r="W81" s="202"/>
    </row>
    <row r="82" spans="1:23" x14ac:dyDescent="0.3">
      <c r="A82" s="148"/>
      <c r="B82" s="5"/>
      <c r="C82" s="148"/>
      <c r="D82" s="293" t="s">
        <v>62</v>
      </c>
      <c r="E82" s="293"/>
      <c r="F82" s="293"/>
      <c r="G82" s="293"/>
      <c r="H82" s="293"/>
      <c r="I82" s="293"/>
      <c r="J82" s="293"/>
      <c r="K82" s="293"/>
      <c r="L82" s="293"/>
      <c r="M82" s="293"/>
      <c r="N82" s="293"/>
      <c r="O82" s="293"/>
      <c r="P82" s="293"/>
      <c r="Q82" s="293"/>
      <c r="R82" s="293"/>
      <c r="S82" s="293"/>
      <c r="T82" s="293"/>
      <c r="U82" s="149"/>
      <c r="V82" s="202"/>
      <c r="W82" s="202"/>
    </row>
    <row r="83" spans="1:23" x14ac:dyDescent="0.3">
      <c r="A83" s="147"/>
      <c r="B83" s="11"/>
      <c r="C83" s="148"/>
      <c r="D83" s="147"/>
      <c r="E83" s="147"/>
      <c r="F83" s="147"/>
      <c r="G83" s="147"/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6"/>
      <c r="V83" s="202"/>
      <c r="W83" s="202"/>
    </row>
    <row r="84" spans="1:23" x14ac:dyDescent="0.3">
      <c r="A84" s="148"/>
      <c r="B84" s="5"/>
      <c r="C84" s="14"/>
      <c r="D84" s="293" t="s">
        <v>63</v>
      </c>
      <c r="E84" s="293"/>
      <c r="F84" s="293"/>
      <c r="G84" s="293"/>
      <c r="H84" s="293"/>
      <c r="I84" s="293"/>
      <c r="J84" s="293"/>
      <c r="K84" s="293"/>
      <c r="L84" s="293"/>
      <c r="M84" s="293"/>
      <c r="N84" s="293"/>
      <c r="O84" s="293"/>
      <c r="P84" s="293"/>
      <c r="Q84" s="293"/>
      <c r="R84" s="293"/>
      <c r="S84" s="293"/>
      <c r="T84" s="293"/>
      <c r="U84" s="149"/>
      <c r="V84" s="202"/>
      <c r="W84" s="202"/>
    </row>
    <row r="85" spans="1:23" x14ac:dyDescent="0.3">
      <c r="A85" s="147"/>
      <c r="B85" s="11"/>
      <c r="C85" s="148"/>
      <c r="D85" s="147"/>
      <c r="E85" s="147"/>
      <c r="F85" s="147"/>
      <c r="G85" s="147"/>
      <c r="H85" s="147"/>
      <c r="I85" s="147"/>
      <c r="J85" s="147"/>
      <c r="K85" s="147"/>
      <c r="L85" s="147"/>
      <c r="M85" s="147"/>
      <c r="N85" s="147"/>
      <c r="O85" s="147"/>
      <c r="P85" s="147"/>
      <c r="Q85" s="147"/>
      <c r="R85" s="147"/>
      <c r="S85" s="147"/>
      <c r="T85" s="147"/>
      <c r="U85" s="146"/>
      <c r="V85" s="202"/>
      <c r="W85" s="202"/>
    </row>
    <row r="86" spans="1:23" x14ac:dyDescent="0.3">
      <c r="A86" s="148"/>
      <c r="B86" s="5"/>
      <c r="C86" s="148"/>
      <c r="D86" s="294" t="s">
        <v>64</v>
      </c>
      <c r="E86" s="293"/>
      <c r="F86" s="293"/>
      <c r="G86" s="293"/>
      <c r="H86" s="293"/>
      <c r="I86" s="293"/>
      <c r="J86" s="293"/>
      <c r="K86" s="293"/>
      <c r="L86" s="293"/>
      <c r="M86" s="293"/>
      <c r="N86" s="293"/>
      <c r="O86" s="293"/>
      <c r="P86" s="293"/>
      <c r="Q86" s="293"/>
      <c r="R86" s="293"/>
      <c r="S86" s="293"/>
      <c r="T86" s="293"/>
      <c r="U86" s="149"/>
      <c r="V86" s="202"/>
      <c r="W86" s="202"/>
    </row>
    <row r="87" spans="1:23" x14ac:dyDescent="0.3">
      <c r="A87" s="148"/>
      <c r="B87" s="15"/>
      <c r="C87" s="148"/>
      <c r="D87" s="293" t="s">
        <v>65</v>
      </c>
      <c r="E87" s="293"/>
      <c r="F87" s="293"/>
      <c r="G87" s="293"/>
      <c r="H87" s="293"/>
      <c r="I87" s="293"/>
      <c r="J87" s="293"/>
      <c r="K87" s="293"/>
      <c r="L87" s="293"/>
      <c r="M87" s="293"/>
      <c r="N87" s="293"/>
      <c r="O87" s="293"/>
      <c r="P87" s="293"/>
      <c r="Q87" s="293"/>
      <c r="R87" s="293"/>
      <c r="S87" s="293"/>
      <c r="T87" s="293"/>
      <c r="U87" s="149"/>
      <c r="V87" s="202"/>
      <c r="W87" s="202"/>
    </row>
    <row r="88" spans="1:23" x14ac:dyDescent="0.3">
      <c r="A88" s="147"/>
      <c r="B88" s="15"/>
      <c r="C88" s="148"/>
      <c r="D88" s="147"/>
      <c r="E88" s="147"/>
      <c r="F88" s="147"/>
      <c r="G88" s="147"/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6"/>
      <c r="V88" s="202"/>
      <c r="W88" s="202"/>
    </row>
    <row r="89" spans="1:23" x14ac:dyDescent="0.3">
      <c r="A89" s="148"/>
      <c r="B89" s="5"/>
      <c r="C89" s="148"/>
      <c r="D89" s="293" t="s">
        <v>66</v>
      </c>
      <c r="E89" s="293"/>
      <c r="F89" s="293"/>
      <c r="G89" s="293"/>
      <c r="H89" s="293"/>
      <c r="I89" s="293"/>
      <c r="J89" s="293"/>
      <c r="K89" s="293"/>
      <c r="L89" s="293"/>
      <c r="M89" s="293"/>
      <c r="N89" s="293"/>
      <c r="O89" s="293"/>
      <c r="P89" s="293"/>
      <c r="Q89" s="293"/>
      <c r="R89" s="293"/>
      <c r="S89" s="293"/>
      <c r="T89" s="293"/>
      <c r="U89" s="149"/>
      <c r="V89" s="202"/>
      <c r="W89" s="202"/>
    </row>
    <row r="90" spans="1:23" x14ac:dyDescent="0.3">
      <c r="A90" s="147"/>
      <c r="B90" s="11"/>
      <c r="C90" s="148"/>
      <c r="D90" s="147"/>
      <c r="E90" s="147"/>
      <c r="F90" s="147"/>
      <c r="G90" s="147"/>
      <c r="H90" s="147"/>
      <c r="I90" s="147"/>
      <c r="J90" s="147"/>
      <c r="K90" s="147"/>
      <c r="L90" s="147"/>
      <c r="M90" s="147"/>
      <c r="N90" s="147"/>
      <c r="O90" s="147"/>
      <c r="P90" s="147"/>
      <c r="Q90" s="147"/>
      <c r="R90" s="147"/>
      <c r="S90" s="147"/>
      <c r="T90" s="147"/>
      <c r="U90" s="146"/>
      <c r="V90" s="202"/>
      <c r="W90" s="202"/>
    </row>
    <row r="91" spans="1:23" x14ac:dyDescent="0.3">
      <c r="A91" s="148"/>
      <c r="B91" s="5"/>
      <c r="C91" s="148"/>
      <c r="D91" s="294" t="s">
        <v>67</v>
      </c>
      <c r="E91" s="293"/>
      <c r="F91" s="293"/>
      <c r="G91" s="293"/>
      <c r="H91" s="293"/>
      <c r="I91" s="293"/>
      <c r="J91" s="293"/>
      <c r="K91" s="293"/>
      <c r="L91" s="293"/>
      <c r="M91" s="293"/>
      <c r="N91" s="293"/>
      <c r="O91" s="293"/>
      <c r="P91" s="293"/>
      <c r="Q91" s="293"/>
      <c r="R91" s="293"/>
      <c r="S91" s="293"/>
      <c r="T91" s="293"/>
      <c r="U91" s="149"/>
      <c r="V91" s="202"/>
      <c r="W91" s="202"/>
    </row>
    <row r="92" spans="1:23" ht="13.5" customHeight="1" x14ac:dyDescent="0.3">
      <c r="A92" s="147"/>
      <c r="B92" s="150"/>
      <c r="C92" s="147"/>
      <c r="D92" s="147"/>
      <c r="E92" s="147"/>
      <c r="F92" s="147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6"/>
      <c r="V92" s="202"/>
      <c r="W92" s="202"/>
    </row>
    <row r="93" spans="1:23" ht="13.5" customHeight="1" x14ac:dyDescent="0.3">
      <c r="A93" s="197"/>
      <c r="B93" s="145" t="s">
        <v>68</v>
      </c>
      <c r="C93" s="197"/>
      <c r="D93" s="197"/>
      <c r="E93" s="197"/>
      <c r="F93" s="197"/>
      <c r="G93" s="197"/>
      <c r="H93" s="197"/>
      <c r="I93" s="197"/>
      <c r="J93" s="197"/>
      <c r="K93" s="197"/>
      <c r="L93" s="197"/>
      <c r="M93" s="197"/>
      <c r="N93" s="197"/>
      <c r="O93" s="197"/>
      <c r="P93" s="197"/>
      <c r="Q93" s="197"/>
      <c r="R93" s="197"/>
      <c r="S93" s="197"/>
      <c r="T93" s="197"/>
      <c r="U93" s="154"/>
      <c r="V93" s="141"/>
      <c r="W93" s="197"/>
    </row>
    <row r="94" spans="1:23" ht="13.5" customHeight="1" x14ac:dyDescent="0.3">
      <c r="A94" s="197"/>
      <c r="B94" s="198" t="s">
        <v>69</v>
      </c>
      <c r="C94" s="197"/>
      <c r="D94" s="197"/>
      <c r="E94" s="197"/>
      <c r="F94" s="197"/>
      <c r="G94" s="197"/>
      <c r="H94" s="197"/>
      <c r="I94" s="197"/>
      <c r="J94" s="197"/>
      <c r="K94" s="197"/>
      <c r="L94" s="199"/>
      <c r="M94" s="200"/>
      <c r="N94" s="141"/>
      <c r="O94" s="140"/>
      <c r="P94" s="140"/>
      <c r="Q94" s="141"/>
      <c r="R94" s="139" t="s">
        <v>70</v>
      </c>
      <c r="S94" s="200"/>
      <c r="T94" s="139" t="s">
        <v>71</v>
      </c>
      <c r="U94" s="200"/>
      <c r="V94" s="141"/>
      <c r="W94" s="197"/>
    </row>
    <row r="95" spans="1:23" ht="13.5" customHeight="1" x14ac:dyDescent="0.3">
      <c r="A95" s="197"/>
      <c r="B95" s="142" t="s">
        <v>72</v>
      </c>
      <c r="C95" s="201"/>
      <c r="D95" s="201"/>
      <c r="E95" s="201"/>
      <c r="F95" s="201"/>
      <c r="G95" s="201"/>
      <c r="H95" s="201"/>
      <c r="I95" s="201"/>
      <c r="J95" s="201"/>
      <c r="K95" s="201"/>
      <c r="L95" s="201"/>
      <c r="M95" s="200"/>
      <c r="N95" s="141"/>
      <c r="O95" s="143"/>
      <c r="P95" s="143"/>
      <c r="Q95" s="141"/>
      <c r="R95" s="213">
        <f>prijmy!C3</f>
        <v>0</v>
      </c>
      <c r="S95" s="206"/>
      <c r="T95" s="213">
        <f>IF(AND(_PZZ1_ &gt;= 0,_PZP1_ &gt;= 0,_OP1_ &gt;= 0),_PZZ1_,IF(AND(AND(_PZZ1_ &gt;= 0,_PZP1_ &lt; 0,_OP1_ &gt;=0),_PZZ1_ + _PZP1_/12  &gt;=  0),_PZZ1_ + _PZP1_/12,IF(AND(AND(_PZZ1_ &gt;= 0,_PZP1_ &gt;= 0,_OP1_ &lt; 0),_OP1_ + _PZZ1_ &gt;= 0),_OP1_ + _PZZ1_,IF(AND(AND(_PZZ1_&gt;= 0,_PZP1_&lt; 0,_OP1_&lt; 0),_OP1_+_PZP1_/12+_PZZ1_&gt;= 0),_OP1_+_PZP1_/12+_PZZ1_,0))))</f>
        <v>0</v>
      </c>
      <c r="U95" s="200"/>
      <c r="V95" s="141"/>
      <c r="W95" s="197"/>
    </row>
    <row r="96" spans="1:23" ht="13.5" customHeight="1" x14ac:dyDescent="0.3">
      <c r="A96" s="197"/>
      <c r="B96" s="144" t="s">
        <v>73</v>
      </c>
      <c r="C96" s="197"/>
      <c r="D96" s="197"/>
      <c r="E96" s="197"/>
      <c r="F96" s="197"/>
      <c r="G96" s="197"/>
      <c r="H96" s="197"/>
      <c r="I96" s="197"/>
      <c r="J96" s="197"/>
      <c r="K96" s="197"/>
      <c r="L96" s="199"/>
      <c r="M96" s="200"/>
      <c r="N96" s="141"/>
      <c r="O96" s="140"/>
      <c r="P96" s="140"/>
      <c r="Q96" s="141"/>
      <c r="R96" s="140"/>
      <c r="S96" s="206"/>
      <c r="T96" s="140"/>
      <c r="U96" s="200"/>
      <c r="V96" s="141"/>
      <c r="W96" s="197"/>
    </row>
    <row r="97" spans="1:23" ht="13.5" customHeight="1" x14ac:dyDescent="0.3">
      <c r="A97" s="197"/>
      <c r="B97" s="142" t="s">
        <v>74</v>
      </c>
      <c r="C97" s="201"/>
      <c r="D97" s="201"/>
      <c r="E97" s="201"/>
      <c r="F97" s="201"/>
      <c r="G97" s="201"/>
      <c r="H97" s="201"/>
      <c r="I97" s="201"/>
      <c r="J97" s="201"/>
      <c r="K97" s="201"/>
      <c r="L97" s="201"/>
      <c r="M97" s="200"/>
      <c r="N97" s="141"/>
      <c r="O97" s="143"/>
      <c r="P97" s="143"/>
      <c r="Q97" s="141"/>
      <c r="R97" s="213">
        <f>prijmy!C11</f>
        <v>0</v>
      </c>
      <c r="S97" s="206"/>
      <c r="T97" s="213">
        <f>IF(OR(_PZP1_&lt;0,AND(AND(_PZZ1_&gt;=0,_PZP1_&gt;=0,_OP1_&lt;0),_OP1_+_PZZ1_+_PZP1_/12&lt;0)),0,IF(OR((AND(_PZZ1_&gt;=0,_PZP1_&gt;=0,_OP1_&gt;=0)),AND(AND(_PZZ1_&gt;=0,_PZP1_&gt;= 0,_OP1_&lt;0),(_OP1_+_PZZ1_&gt;=0))),_PZP1_,IF(AND(AND(_PZZ1_ &gt;= 0,_PZP1_ &gt;= 0,_OP1_ &lt; 0),_OP1_ + _PZZ1_ + _PZP1_/12  &gt;= 0),(_OP1_ + _PZZ1_ + _PZP1_/12)*12)))</f>
        <v>0</v>
      </c>
      <c r="U97" s="200"/>
      <c r="V97" s="141"/>
      <c r="W97" s="197"/>
    </row>
    <row r="98" spans="1:23" ht="13.5" customHeight="1" x14ac:dyDescent="0.3">
      <c r="A98" s="197"/>
      <c r="B98" s="144" t="s">
        <v>75</v>
      </c>
      <c r="C98" s="197"/>
      <c r="D98" s="197"/>
      <c r="E98" s="197"/>
      <c r="F98" s="197"/>
      <c r="G98" s="197"/>
      <c r="H98" s="197"/>
      <c r="I98" s="197"/>
      <c r="J98" s="197"/>
      <c r="K98" s="197"/>
      <c r="L98" s="199"/>
      <c r="M98" s="200"/>
      <c r="N98" s="141"/>
      <c r="O98" s="140"/>
      <c r="P98" s="140"/>
      <c r="Q98" s="141"/>
      <c r="R98" s="140"/>
      <c r="S98" s="206"/>
      <c r="T98" s="207"/>
      <c r="U98" s="200"/>
      <c r="V98" s="141"/>
      <c r="W98" s="197"/>
    </row>
    <row r="99" spans="1:23" ht="12.75" customHeight="1" x14ac:dyDescent="0.3">
      <c r="A99" s="197"/>
      <c r="B99" s="145" t="s">
        <v>76</v>
      </c>
      <c r="C99" s="197"/>
      <c r="D99" s="197"/>
      <c r="E99" s="197"/>
      <c r="F99" s="197"/>
      <c r="G99" s="197"/>
      <c r="H99" s="197"/>
      <c r="I99" s="197"/>
      <c r="J99" s="197"/>
      <c r="K99" s="197"/>
      <c r="L99" s="197"/>
      <c r="M99" s="200"/>
      <c r="N99" s="141"/>
      <c r="O99" s="145"/>
      <c r="P99" s="145"/>
      <c r="Q99" s="141"/>
      <c r="R99" s="214">
        <f>prijmy!C23</f>
        <v>0</v>
      </c>
      <c r="S99" s="206"/>
      <c r="T99" s="214">
        <f>IF(OR(_OP1_&lt;0,AND(AND(_PZZ1_&gt;=0,_PZP1_&lt;0,_OP1&gt;=0),_PZZ1_+_PZP1_/12+_OP1_&lt;0)),0,IF(OR((AND(_PZZ1_&gt;=0,_PZP1_&gt;=0,_OP1_&gt;=0)),AND(AND(_PZZ1_&gt;=0,_PZP1_&lt;0,_OP1_&gt;=0),(_PZZ1_+_PZP1_/12&gt;=0))),_OP1_,IF(AND(AND(_PZZ1_&gt;=0,_PZP1_&lt;0,_OP1_&gt;=0),_PZZ1_+_PZP1_/12+_OP1_&gt;=0),_PZZ1_+_PZP1_/12+_OP1_)))</f>
        <v>0</v>
      </c>
      <c r="U99" s="200"/>
      <c r="V99" s="141"/>
      <c r="W99" s="197"/>
    </row>
    <row r="100" spans="1:23" ht="16.5" customHeight="1" x14ac:dyDescent="0.3">
      <c r="A100" s="201"/>
      <c r="B100" s="141"/>
      <c r="C100" s="141"/>
      <c r="D100" s="141"/>
      <c r="E100" s="141"/>
      <c r="F100" s="141"/>
      <c r="G100" s="141"/>
      <c r="H100" s="141"/>
      <c r="I100" s="141"/>
      <c r="J100" s="141"/>
      <c r="K100" s="141"/>
      <c r="L100" s="141"/>
      <c r="M100" s="141"/>
      <c r="N100" s="141"/>
      <c r="O100" s="141"/>
      <c r="P100" s="141"/>
      <c r="Q100" s="141"/>
      <c r="R100" s="141"/>
      <c r="S100" s="141"/>
      <c r="T100" s="204" t="str">
        <f>IF(_PZZ1_ + _PZP1_/12 + _OP1_ &lt; 0,"Celkové vypočtené příjmy klienta jsou záporné, odečtěte je z jiných příjmů klienta nebo jiného žadatele!","")</f>
        <v/>
      </c>
      <c r="U100" s="141"/>
      <c r="V100" s="141"/>
      <c r="W100" s="197"/>
    </row>
    <row r="101" spans="1:23" ht="28.5" customHeight="1" x14ac:dyDescent="0.3">
      <c r="A101" s="197"/>
      <c r="B101" s="263" t="s">
        <v>77</v>
      </c>
      <c r="C101" s="263"/>
      <c r="D101" s="263"/>
      <c r="E101" s="263"/>
      <c r="F101" s="263"/>
      <c r="G101" s="263"/>
      <c r="H101" s="263"/>
      <c r="I101" s="263"/>
      <c r="J101" s="263"/>
      <c r="K101" s="263"/>
      <c r="L101" s="263"/>
      <c r="M101" s="263"/>
      <c r="N101" s="263"/>
      <c r="O101" s="263"/>
      <c r="P101" s="263"/>
      <c r="Q101" s="263"/>
      <c r="R101" s="263"/>
      <c r="S101" s="263"/>
      <c r="T101" s="263"/>
      <c r="U101" s="141"/>
      <c r="V101" s="141"/>
      <c r="W101" s="197"/>
    </row>
    <row r="102" spans="1:23" ht="15" customHeight="1" x14ac:dyDescent="0.3">
      <c r="A102" s="197"/>
      <c r="B102" s="215" t="str">
        <f>IF(F102="x","","x")</f>
        <v>x</v>
      </c>
      <c r="C102" s="205"/>
      <c r="D102" s="197" t="s">
        <v>78</v>
      </c>
      <c r="E102" s="197"/>
      <c r="F102" s="215" t="str">
        <f>IF(OR(prumer&gt;0,_101&gt;0,_102&gt;0,_104&gt;0),"x","")</f>
        <v/>
      </c>
      <c r="G102" s="208"/>
      <c r="H102" s="205"/>
      <c r="I102" s="197" t="s">
        <v>79</v>
      </c>
      <c r="J102" s="197"/>
      <c r="K102" s="197"/>
      <c r="L102" s="197"/>
      <c r="M102" s="197"/>
      <c r="N102" s="197"/>
      <c r="O102" s="197"/>
      <c r="P102" s="197"/>
      <c r="Q102" s="197"/>
      <c r="R102" s="197"/>
      <c r="S102" s="197"/>
      <c r="T102" s="197"/>
      <c r="U102" s="141"/>
      <c r="V102" s="141"/>
      <c r="W102" s="197"/>
    </row>
    <row r="103" spans="1:23" ht="27" customHeight="1" x14ac:dyDescent="0.3">
      <c r="A103" s="197"/>
      <c r="B103" s="263" t="s">
        <v>80</v>
      </c>
      <c r="C103" s="263"/>
      <c r="D103" s="263"/>
      <c r="E103" s="263"/>
      <c r="F103" s="263"/>
      <c r="G103" s="263"/>
      <c r="H103" s="263"/>
      <c r="I103" s="263"/>
      <c r="J103" s="263"/>
      <c r="K103" s="263"/>
      <c r="L103" s="263"/>
      <c r="M103" s="263"/>
      <c r="N103" s="263"/>
      <c r="O103" s="263"/>
      <c r="P103" s="263"/>
      <c r="Q103" s="263"/>
      <c r="R103" s="263"/>
      <c r="S103" s="263"/>
      <c r="T103" s="263"/>
      <c r="U103" s="141"/>
      <c r="V103" s="141"/>
      <c r="W103" s="197"/>
    </row>
    <row r="104" spans="1:23" x14ac:dyDescent="0.3">
      <c r="A104" s="197"/>
      <c r="B104" s="215" t="str">
        <f>IF(OR(_101&gt;0,_102&gt;0,_104&gt;0),"x","")</f>
        <v/>
      </c>
      <c r="C104" s="205"/>
      <c r="D104" s="197" t="s">
        <v>78</v>
      </c>
      <c r="E104" s="197"/>
      <c r="F104" s="215" t="str">
        <f>IF(B104="x","","x")</f>
        <v>x</v>
      </c>
      <c r="G104" s="208"/>
      <c r="H104" s="205"/>
      <c r="I104" s="197" t="s">
        <v>79</v>
      </c>
      <c r="J104" s="197"/>
      <c r="K104" s="197"/>
      <c r="L104" s="197"/>
      <c r="M104" s="197"/>
      <c r="N104" s="197"/>
      <c r="O104" s="197"/>
      <c r="P104" s="197"/>
      <c r="Q104" s="197"/>
      <c r="R104" s="197"/>
      <c r="S104" s="197"/>
      <c r="T104" s="197"/>
      <c r="U104" s="141"/>
      <c r="V104" s="141"/>
      <c r="W104" s="197"/>
    </row>
    <row r="105" spans="1:23" x14ac:dyDescent="0.3">
      <c r="A105" s="197"/>
      <c r="B105" s="141"/>
      <c r="C105" s="141"/>
      <c r="D105" s="141"/>
      <c r="E105" s="141"/>
      <c r="F105" s="141"/>
      <c r="G105" s="141"/>
      <c r="H105" s="141"/>
      <c r="I105" s="141"/>
      <c r="J105" s="141"/>
      <c r="K105" s="141"/>
      <c r="L105" s="141"/>
      <c r="M105" s="141"/>
      <c r="N105" s="141"/>
      <c r="O105" s="141"/>
      <c r="P105" s="141"/>
      <c r="Q105" s="141"/>
      <c r="R105" s="141"/>
      <c r="S105" s="141"/>
      <c r="T105" s="141"/>
      <c r="U105" s="141"/>
      <c r="V105" s="141"/>
      <c r="W105" s="197"/>
    </row>
    <row r="106" spans="1:23" ht="0.75" customHeight="1" x14ac:dyDescent="0.3">
      <c r="A106" s="209"/>
      <c r="B106" s="209"/>
      <c r="C106" s="209"/>
      <c r="D106" s="209"/>
      <c r="E106" s="209"/>
      <c r="F106" s="209"/>
      <c r="G106" s="209"/>
      <c r="H106" s="209"/>
      <c r="I106" s="209"/>
      <c r="J106" s="209"/>
      <c r="K106" s="209"/>
      <c r="L106" s="209"/>
      <c r="M106" s="209"/>
      <c r="N106" s="209"/>
      <c r="O106" s="209"/>
      <c r="P106" s="209"/>
      <c r="Q106" s="209"/>
      <c r="R106" s="209"/>
      <c r="S106" s="209"/>
      <c r="T106" s="209"/>
      <c r="U106" s="209"/>
    </row>
    <row r="107" spans="1:23" hidden="1" x14ac:dyDescent="0.3">
      <c r="A107" s="209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</row>
    <row r="108" spans="1:23" hidden="1" x14ac:dyDescent="0.3">
      <c r="A108" s="209"/>
      <c r="B108" s="209"/>
      <c r="C108" s="209"/>
      <c r="D108" s="209"/>
      <c r="E108" s="209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  <c r="U108" s="209"/>
    </row>
    <row r="109" spans="1:23" hidden="1" x14ac:dyDescent="0.3">
      <c r="A109" s="209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</row>
    <row r="110" spans="1:23" hidden="1" x14ac:dyDescent="0.3">
      <c r="A110" s="209"/>
      <c r="B110" s="209"/>
      <c r="C110" s="209"/>
      <c r="D110" s="209"/>
      <c r="E110" s="209"/>
      <c r="F110" s="209"/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09"/>
      <c r="R110" s="209"/>
      <c r="S110" s="209"/>
      <c r="T110" s="209"/>
      <c r="U110" s="209"/>
    </row>
    <row r="111" spans="1:23" hidden="1" x14ac:dyDescent="0.3">
      <c r="A111" s="209"/>
      <c r="B111" s="209"/>
      <c r="C111" s="209"/>
      <c r="D111" s="209"/>
      <c r="E111" s="209"/>
      <c r="F111" s="209"/>
      <c r="G111" s="209"/>
      <c r="H111" s="209"/>
      <c r="I111" s="209"/>
      <c r="J111" s="209"/>
      <c r="K111" s="209"/>
      <c r="L111" s="209"/>
      <c r="M111" s="209"/>
      <c r="N111" s="209"/>
      <c r="O111" s="209"/>
      <c r="P111" s="209"/>
      <c r="Q111" s="209"/>
      <c r="R111" s="209"/>
      <c r="S111" s="209"/>
      <c r="T111" s="209"/>
      <c r="U111" s="209"/>
    </row>
    <row r="112" spans="1:23" hidden="1" x14ac:dyDescent="0.3">
      <c r="A112" s="209"/>
      <c r="B112" s="209"/>
      <c r="C112" s="209"/>
      <c r="D112" s="209"/>
      <c r="E112" s="209"/>
      <c r="F112" s="209"/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09"/>
      <c r="R112" s="209"/>
      <c r="S112" s="209"/>
      <c r="T112" s="209"/>
      <c r="U112" s="209"/>
    </row>
    <row r="113" spans="1:21" hidden="1" x14ac:dyDescent="0.3">
      <c r="A113" s="209"/>
      <c r="B113" s="209"/>
      <c r="C113" s="209"/>
      <c r="D113" s="209"/>
      <c r="E113" s="209"/>
      <c r="F113" s="209"/>
      <c r="G113" s="209"/>
      <c r="H113" s="209"/>
      <c r="I113" s="209"/>
      <c r="J113" s="209"/>
      <c r="K113" s="209"/>
      <c r="L113" s="209"/>
      <c r="M113" s="209"/>
      <c r="N113" s="209"/>
      <c r="O113" s="209"/>
      <c r="P113" s="209"/>
      <c r="Q113" s="209"/>
      <c r="R113" s="209"/>
      <c r="S113" s="209"/>
      <c r="T113" s="209"/>
      <c r="U113" s="209"/>
    </row>
  </sheetData>
  <sheetProtection algorithmName="SHA-512" hashValue="gKPjxgNLiVMUvlsxe2zefNDktRhXeglNki1BxdliY7KoyxCnqiATdjvwWZQQsMSmxqaig6P2Qzjr4t8kdt3ceA==" saltValue="nPLJlCLfd25n3O/DHGAozg==" spinCount="100000" sheet="1" formatCells="0" formatColumns="0" formatRows="0" insertColumns="0" insertRows="0" insertHyperlinks="0" deleteColumns="0" deleteRows="0" sort="0" autoFilter="0" pivotTables="0"/>
  <mergeCells count="107">
    <mergeCell ref="B60:C60"/>
    <mergeCell ref="B61:C61"/>
    <mergeCell ref="D89:T89"/>
    <mergeCell ref="D91:T91"/>
    <mergeCell ref="D79:T79"/>
    <mergeCell ref="D82:T82"/>
    <mergeCell ref="D66:T66"/>
    <mergeCell ref="D84:T84"/>
    <mergeCell ref="D86:T86"/>
    <mergeCell ref="D87:T87"/>
    <mergeCell ref="D77:T77"/>
    <mergeCell ref="D75:T75"/>
    <mergeCell ref="D63:T63"/>
    <mergeCell ref="D64:T64"/>
    <mergeCell ref="D69:T69"/>
    <mergeCell ref="D71:T71"/>
    <mergeCell ref="D73:T73"/>
    <mergeCell ref="D68:T68"/>
    <mergeCell ref="B53:C53"/>
    <mergeCell ref="B54:C54"/>
    <mergeCell ref="B55:C55"/>
    <mergeCell ref="D55:S55"/>
    <mergeCell ref="B56:C56"/>
    <mergeCell ref="D56:S56"/>
    <mergeCell ref="B57:C57"/>
    <mergeCell ref="B58:C58"/>
    <mergeCell ref="B59:C59"/>
    <mergeCell ref="B37:C37"/>
    <mergeCell ref="D37:S37"/>
    <mergeCell ref="B38:C38"/>
    <mergeCell ref="D38:S38"/>
    <mergeCell ref="B39:C39"/>
    <mergeCell ref="D39:S39"/>
    <mergeCell ref="B52:C52"/>
    <mergeCell ref="B41:T41"/>
    <mergeCell ref="B42:C42"/>
    <mergeCell ref="B43:C43"/>
    <mergeCell ref="B44:C44"/>
    <mergeCell ref="B45:C45"/>
    <mergeCell ref="B46:C46"/>
    <mergeCell ref="B47:C47"/>
    <mergeCell ref="B48:C48"/>
    <mergeCell ref="B49:C49"/>
    <mergeCell ref="B51:T51"/>
    <mergeCell ref="T45:V45"/>
    <mergeCell ref="T46:V46"/>
    <mergeCell ref="T47:V47"/>
    <mergeCell ref="T48:V48"/>
    <mergeCell ref="T49:V49"/>
    <mergeCell ref="T52:V52"/>
    <mergeCell ref="B101:T101"/>
    <mergeCell ref="B103:T103"/>
    <mergeCell ref="B22:T22"/>
    <mergeCell ref="B3:I3"/>
    <mergeCell ref="B6:I6"/>
    <mergeCell ref="L6:R6"/>
    <mergeCell ref="B8:T8"/>
    <mergeCell ref="B11:Q11"/>
    <mergeCell ref="B14:U14"/>
    <mergeCell ref="B19:R19"/>
    <mergeCell ref="B33:C33"/>
    <mergeCell ref="R33:S33"/>
    <mergeCell ref="B23:C23"/>
    <mergeCell ref="B25:C25"/>
    <mergeCell ref="D25:R25"/>
    <mergeCell ref="B26:C26"/>
    <mergeCell ref="D26:R26"/>
    <mergeCell ref="B27:C27"/>
    <mergeCell ref="D27:R27"/>
    <mergeCell ref="B28:C28"/>
    <mergeCell ref="D28:R28"/>
    <mergeCell ref="B31:C31"/>
    <mergeCell ref="B32:C32"/>
    <mergeCell ref="R32:S32"/>
    <mergeCell ref="R1:W1"/>
    <mergeCell ref="T42:V42"/>
    <mergeCell ref="T43:V43"/>
    <mergeCell ref="T44:V44"/>
    <mergeCell ref="B12:P12"/>
    <mergeCell ref="B9:H9"/>
    <mergeCell ref="T35:V35"/>
    <mergeCell ref="T36:V36"/>
    <mergeCell ref="T37:V37"/>
    <mergeCell ref="T38:V38"/>
    <mergeCell ref="T39:V39"/>
    <mergeCell ref="T19:V19"/>
    <mergeCell ref="T23:V23"/>
    <mergeCell ref="T32:V32"/>
    <mergeCell ref="T31:V31"/>
    <mergeCell ref="T33:V33"/>
    <mergeCell ref="T25:V25"/>
    <mergeCell ref="T27:V27"/>
    <mergeCell ref="B34:C34"/>
    <mergeCell ref="D34:S34"/>
    <mergeCell ref="B35:C35"/>
    <mergeCell ref="D35:S35"/>
    <mergeCell ref="B36:C36"/>
    <mergeCell ref="D36:S36"/>
    <mergeCell ref="T53:V53"/>
    <mergeCell ref="T61:V61"/>
    <mergeCell ref="T60:V60"/>
    <mergeCell ref="T59:V59"/>
    <mergeCell ref="T58:V58"/>
    <mergeCell ref="T57:V57"/>
    <mergeCell ref="T56:V56"/>
    <mergeCell ref="T55:V55"/>
    <mergeCell ref="T54:V54"/>
  </mergeCells>
  <conditionalFormatting sqref="B12:P12">
    <cfRule type="expression" dxfId="4" priority="4">
      <formula>OR($B$9="Neuplatňuje")</formula>
    </cfRule>
  </conditionalFormatting>
  <conditionalFormatting sqref="I9">
    <cfRule type="expression" dxfId="3" priority="1">
      <formula>$B$9="Uplatňuje - individuální"</formula>
    </cfRule>
  </conditionalFormatting>
  <conditionalFormatting sqref="R32:S33">
    <cfRule type="cellIs" dxfId="2" priority="8" stopIfTrue="1" operator="greaterThanOrEqual">
      <formula>0</formula>
    </cfRule>
  </conditionalFormatting>
  <conditionalFormatting sqref="V12">
    <cfRule type="expression" dxfId="1" priority="2" stopIfTrue="1">
      <formula>IF(B9="Uplatňuje - individuální",1,0)</formula>
    </cfRule>
  </conditionalFormatting>
  <dataValidations count="1">
    <dataValidation type="list" showInputMessage="1" showErrorMessage="1" errorTitle="Vyberte platnou hodnotu!" sqref="B12:P12" xr:uid="{FA547E07-CA0C-468D-ABDE-CB4C22BB277E}">
      <formula1>IF(B9="Neuplatňuje",NACE_NULL,IF($B$9="Uplatňuje - modifikované",NACE_MOD_KB,IF(OR($B$9="Uplatňuje - dle DP",$B$9="Uplatňuje - individuální"),NACE)))</formula1>
    </dataValidation>
  </dataValidations>
  <pageMargins left="0.7" right="0.7" top="0.78740157499999996" bottom="0.78740157499999996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cinnosti!$G$1:$G$2</xm:f>
          </x14:formula1>
          <xm:sqref>B84 B91 B71 B73 B82 B86 B69 B75 B77 B79 B89</xm:sqref>
        </x14:dataValidation>
        <x14:dataValidation type="list" allowBlank="1" showInputMessage="1" showErrorMessage="1" xr:uid="{A9FB6EA8-D908-467F-898F-92881388749F}">
          <x14:formula1>
            <xm:f>cinnosti!$I$3:$I$6</xm:f>
          </x14:formula1>
          <xm:sqref>B9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J34"/>
  <sheetViews>
    <sheetView workbookViewId="0">
      <selection activeCell="H13" sqref="H13"/>
    </sheetView>
  </sheetViews>
  <sheetFormatPr defaultColWidth="8.6640625" defaultRowHeight="14.4" x14ac:dyDescent="0.3"/>
  <cols>
    <col min="1" max="1" width="30.5546875" bestFit="1" customWidth="1"/>
    <col min="8" max="8" width="9.109375" bestFit="1" customWidth="1"/>
  </cols>
  <sheetData>
    <row r="1" spans="1:10" x14ac:dyDescent="0.3">
      <c r="A1" s="110"/>
    </row>
    <row r="5" spans="1:10" ht="15" thickBot="1" x14ac:dyDescent="0.35"/>
    <row r="6" spans="1:10" ht="15" thickBot="1" x14ac:dyDescent="0.35">
      <c r="A6" t="s">
        <v>81</v>
      </c>
      <c r="B6" s="102">
        <f>_37</f>
        <v>0</v>
      </c>
      <c r="D6" s="103" t="s">
        <v>82</v>
      </c>
      <c r="F6" s="103"/>
    </row>
    <row r="7" spans="1:10" ht="15" thickBot="1" x14ac:dyDescent="0.35"/>
    <row r="8" spans="1:10" ht="15" thickBot="1" x14ac:dyDescent="0.35">
      <c r="A8" t="s">
        <v>83</v>
      </c>
      <c r="B8" s="104" t="str">
        <f>IF(E8="","x","")</f>
        <v>x</v>
      </c>
      <c r="D8" t="s">
        <v>84</v>
      </c>
      <c r="E8" s="104" t="str">
        <f>IF(OR(_37&lt;&gt;0,_101&gt;0,_102&gt;0,_104&gt;0)=TRUE,IF(AND(vstupni_data!B64="",vstupni_data!B69="",vstupni_data!B71="",vstupni_data!B73="",vstupni_data!B75="",vstupni_data!B77="",vstupni_data!B79=""),"","x"),"")</f>
        <v/>
      </c>
    </row>
    <row r="9" spans="1:10" ht="15" thickBot="1" x14ac:dyDescent="0.35"/>
    <row r="10" spans="1:10" ht="15" thickBot="1" x14ac:dyDescent="0.35">
      <c r="A10" t="s">
        <v>85</v>
      </c>
      <c r="B10" s="102">
        <f>IF(B8="x",ROUNDUP(B6*0.5,0),IF(B6&lt;H10,0,ROUNDUP(B6*0.5,0)))</f>
        <v>0</v>
      </c>
      <c r="D10" s="61" t="s">
        <v>86</v>
      </c>
      <c r="H10" s="105">
        <v>105520</v>
      </c>
    </row>
    <row r="11" spans="1:10" ht="15" thickBot="1" x14ac:dyDescent="0.35">
      <c r="B11" s="106"/>
    </row>
    <row r="12" spans="1:10" ht="15" thickBot="1" x14ac:dyDescent="0.35">
      <c r="A12" t="s">
        <v>87</v>
      </c>
      <c r="B12" s="102">
        <f>IF(C30="",IF(C33="",0,IF(AND(E8="x",B10=0),0,IF(B8="x",IF(B10&gt;=H12,IF(B10&lt;=H13,B10,H13),H12),IF(B10&gt;=J12,IF(B10&lt;=H13,B10,H13),J12)))),0)</f>
        <v>0</v>
      </c>
      <c r="D12" s="61" t="s">
        <v>87</v>
      </c>
      <c r="G12" t="s">
        <v>83</v>
      </c>
      <c r="H12" s="105">
        <v>158292</v>
      </c>
      <c r="I12" t="s">
        <v>84</v>
      </c>
      <c r="J12" s="105">
        <v>58044</v>
      </c>
    </row>
    <row r="13" spans="1:10" ht="15" thickBot="1" x14ac:dyDescent="0.35">
      <c r="B13" s="106"/>
      <c r="D13" t="s">
        <v>88</v>
      </c>
      <c r="H13" s="105">
        <v>2110416</v>
      </c>
      <c r="J13" s="106"/>
    </row>
    <row r="14" spans="1:10" ht="15" thickBot="1" x14ac:dyDescent="0.35">
      <c r="A14" t="s">
        <v>89</v>
      </c>
      <c r="B14" s="102">
        <f>B12</f>
        <v>0</v>
      </c>
    </row>
    <row r="15" spans="1:10" ht="15" thickBot="1" x14ac:dyDescent="0.35">
      <c r="B15" s="106"/>
    </row>
    <row r="16" spans="1:10" ht="15" thickBot="1" x14ac:dyDescent="0.35">
      <c r="A16" t="s">
        <v>90</v>
      </c>
      <c r="B16" s="102">
        <f>_31</f>
        <v>0</v>
      </c>
      <c r="D16" s="103" t="s">
        <v>91</v>
      </c>
    </row>
    <row r="17" spans="1:4" ht="15" thickBot="1" x14ac:dyDescent="0.35">
      <c r="B17" s="106"/>
    </row>
    <row r="18" spans="1:4" ht="15" thickBot="1" x14ac:dyDescent="0.35">
      <c r="A18" t="s">
        <v>92</v>
      </c>
      <c r="B18" s="102">
        <f>B14</f>
        <v>0</v>
      </c>
    </row>
    <row r="19" spans="1:4" ht="15" thickBot="1" x14ac:dyDescent="0.35">
      <c r="B19" s="106"/>
    </row>
    <row r="20" spans="1:4" ht="15" thickBot="1" x14ac:dyDescent="0.35">
      <c r="A20" t="s">
        <v>93</v>
      </c>
      <c r="B20" s="102">
        <f>IF(B18&lt;=H13,B14,IF((H13-B18)&lt;0,0,H13-B18))</f>
        <v>0</v>
      </c>
    </row>
    <row r="21" spans="1:4" ht="15" thickBot="1" x14ac:dyDescent="0.35">
      <c r="B21" s="106"/>
    </row>
    <row r="22" spans="1:4" ht="15" thickBot="1" x14ac:dyDescent="0.35">
      <c r="A22" t="s">
        <v>94</v>
      </c>
      <c r="B22" s="102">
        <f>ROUNDUP(B20*D22,0)</f>
        <v>0</v>
      </c>
      <c r="D22" s="107">
        <v>0.29199999999999998</v>
      </c>
    </row>
    <row r="29" spans="1:4" ht="15" thickBot="1" x14ac:dyDescent="0.35">
      <c r="B29" t="s">
        <v>77</v>
      </c>
    </row>
    <row r="30" spans="1:4" ht="15" thickBot="1" x14ac:dyDescent="0.35">
      <c r="B30" t="s">
        <v>78</v>
      </c>
      <c r="C30" s="210" t="str">
        <f>IF(C31="x","","x")</f>
        <v>x</v>
      </c>
    </row>
    <row r="31" spans="1:4" ht="15" thickBot="1" x14ac:dyDescent="0.35">
      <c r="B31" t="s">
        <v>79</v>
      </c>
      <c r="C31" s="210" t="str">
        <f>IF(OR(prumer&gt;0,_101&gt;0,_102&gt;0,_104&gt;0),"x","")</f>
        <v/>
      </c>
    </row>
    <row r="32" spans="1:4" ht="15" thickBot="1" x14ac:dyDescent="0.35">
      <c r="B32" t="s">
        <v>80</v>
      </c>
    </row>
    <row r="33" spans="2:3" ht="15" thickBot="1" x14ac:dyDescent="0.35">
      <c r="B33" t="s">
        <v>78</v>
      </c>
      <c r="C33" s="210" t="str">
        <f>IF(OR(_101&gt;0,_102&gt;0,_104&gt;0),"x","")</f>
        <v/>
      </c>
    </row>
    <row r="34" spans="2:3" ht="15" thickBot="1" x14ac:dyDescent="0.35">
      <c r="B34" t="s">
        <v>79</v>
      </c>
      <c r="C34" s="210" t="str">
        <f>IF(C33="x","","x")</f>
        <v>x</v>
      </c>
    </row>
  </sheetData>
  <pageMargins left="0.7" right="0.7" top="0.78740157499999996" bottom="0.78740157499999996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5"/>
  <dimension ref="A1:L21"/>
  <sheetViews>
    <sheetView workbookViewId="0">
      <selection activeCell="B31" sqref="B31"/>
    </sheetView>
  </sheetViews>
  <sheetFormatPr defaultColWidth="8.6640625" defaultRowHeight="14.4" x14ac:dyDescent="0.3"/>
  <cols>
    <col min="1" max="1" width="29.6640625" customWidth="1"/>
    <col min="8" max="8" width="11.33203125" bestFit="1" customWidth="1"/>
  </cols>
  <sheetData>
    <row r="1" spans="1:12" x14ac:dyDescent="0.3">
      <c r="A1" s="110" t="s">
        <v>95</v>
      </c>
    </row>
    <row r="5" spans="1:12" ht="15" thickBot="1" x14ac:dyDescent="0.35"/>
    <row r="6" spans="1:12" ht="15" thickBot="1" x14ac:dyDescent="0.35">
      <c r="A6" t="s">
        <v>96</v>
      </c>
      <c r="B6" s="104" t="str">
        <f>IF(E6="","x","")</f>
        <v>x</v>
      </c>
      <c r="D6" t="s">
        <v>97</v>
      </c>
      <c r="E6" s="104" t="str">
        <f>IF(OR(_37&lt;&gt;0,_101&gt;0,_102&gt;0,_104&gt;0)=TRUE,IF(AND(vstupni_data!B82="",vstupni_data!B66="",vstupni_data!B84="",vstupni_data!B86="",vstupni_data!B89="",vstupni_data!B91=""),"","x"),"")</f>
        <v/>
      </c>
    </row>
    <row r="8" spans="1:12" ht="15" thickBot="1" x14ac:dyDescent="0.35"/>
    <row r="9" spans="1:12" ht="15" thickBot="1" x14ac:dyDescent="0.35">
      <c r="A9" t="s">
        <v>81</v>
      </c>
      <c r="B9" s="102">
        <f>_37</f>
        <v>0</v>
      </c>
      <c r="D9" s="103" t="s">
        <v>82</v>
      </c>
      <c r="F9" s="103"/>
    </row>
    <row r="10" spans="1:12" ht="15" thickBot="1" x14ac:dyDescent="0.35"/>
    <row r="11" spans="1:12" ht="15" thickBot="1" x14ac:dyDescent="0.35">
      <c r="A11" t="s">
        <v>98</v>
      </c>
      <c r="B11" s="102">
        <f>_31</f>
        <v>0</v>
      </c>
      <c r="D11" s="103" t="s">
        <v>91</v>
      </c>
    </row>
    <row r="12" spans="1:12" ht="15" thickBot="1" x14ac:dyDescent="0.35">
      <c r="B12" s="106"/>
    </row>
    <row r="13" spans="1:12" ht="15" thickBot="1" x14ac:dyDescent="0.35">
      <c r="A13" t="s">
        <v>87</v>
      </c>
      <c r="B13" s="102">
        <f>IF(B6="",0,H13)</f>
        <v>263802</v>
      </c>
      <c r="D13" t="s">
        <v>87</v>
      </c>
      <c r="H13" s="105">
        <v>263802</v>
      </c>
      <c r="J13" s="111"/>
      <c r="L13" s="103"/>
    </row>
    <row r="14" spans="1:12" ht="15" thickBot="1" x14ac:dyDescent="0.35">
      <c r="B14" s="106"/>
      <c r="D14" t="s">
        <v>88</v>
      </c>
      <c r="H14" s="105">
        <v>999999999</v>
      </c>
      <c r="I14" t="s">
        <v>99</v>
      </c>
      <c r="J14" s="106"/>
    </row>
    <row r="15" spans="1:12" ht="15" thickBot="1" x14ac:dyDescent="0.35">
      <c r="A15" t="s">
        <v>100</v>
      </c>
      <c r="B15" s="102">
        <f>IF(SS!C30="",IF(SS!C33="",0,IF(B9*0.5&lt;B13,B13,B9*0.5)),H15)</f>
        <v>226800</v>
      </c>
      <c r="D15" t="s">
        <v>101</v>
      </c>
      <c r="H15" s="105">
        <v>226800</v>
      </c>
    </row>
    <row r="16" spans="1:12" ht="15" thickBot="1" x14ac:dyDescent="0.35">
      <c r="B16" s="106"/>
    </row>
    <row r="17" spans="1:4" ht="15" thickBot="1" x14ac:dyDescent="0.35">
      <c r="A17" t="s">
        <v>102</v>
      </c>
      <c r="B17" s="102">
        <f>IF((B15+B11)-H14&lt;0,0,(B15+B11)-H14)</f>
        <v>0</v>
      </c>
    </row>
    <row r="18" spans="1:4" ht="15" thickBot="1" x14ac:dyDescent="0.35">
      <c r="B18" s="106"/>
    </row>
    <row r="19" spans="1:4" ht="15" thickBot="1" x14ac:dyDescent="0.35">
      <c r="A19" t="s">
        <v>93</v>
      </c>
      <c r="B19" s="102">
        <f>IF(B15-B17&lt;0,0,B15-B17)</f>
        <v>226800</v>
      </c>
    </row>
    <row r="20" spans="1:4" ht="15" thickBot="1" x14ac:dyDescent="0.35">
      <c r="B20" s="106"/>
    </row>
    <row r="21" spans="1:4" ht="15" thickBot="1" x14ac:dyDescent="0.35">
      <c r="A21" t="s">
        <v>94</v>
      </c>
      <c r="B21" s="102">
        <f>IF(OR(_104&lt;&gt;0,_37&lt;&gt;0,_101&lt;&gt;0),B19*D21,0)</f>
        <v>0</v>
      </c>
      <c r="D21" s="112">
        <v>0.13500000000000001</v>
      </c>
    </row>
  </sheetData>
  <pageMargins left="0.7" right="0.7" top="0.78740157499999996" bottom="0.78740157499999996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/>
  <dimension ref="A1:F51"/>
  <sheetViews>
    <sheetView zoomScale="89" workbookViewId="0">
      <selection activeCell="C46" sqref="C46"/>
    </sheetView>
  </sheetViews>
  <sheetFormatPr defaultColWidth="8.6640625" defaultRowHeight="14.4" x14ac:dyDescent="0.3"/>
  <cols>
    <col min="1" max="1" width="13.6640625" customWidth="1"/>
    <col min="2" max="2" width="52.6640625" bestFit="1" customWidth="1"/>
    <col min="3" max="3" width="10" bestFit="1" customWidth="1"/>
  </cols>
  <sheetData>
    <row r="1" spans="1:6" x14ac:dyDescent="0.3">
      <c r="A1" s="110"/>
      <c r="C1" s="106"/>
    </row>
    <row r="2" spans="1:6" x14ac:dyDescent="0.3">
      <c r="A2" s="113" t="s">
        <v>103</v>
      </c>
      <c r="B2" s="55"/>
      <c r="C2" s="114"/>
      <c r="D2" s="55"/>
      <c r="E2" s="55" t="s">
        <v>104</v>
      </c>
      <c r="F2" s="55"/>
    </row>
    <row r="3" spans="1:6" x14ac:dyDescent="0.3">
      <c r="A3" s="110"/>
      <c r="B3" s="115" t="s">
        <v>105</v>
      </c>
      <c r="C3" s="116">
        <f>_37</f>
        <v>0</v>
      </c>
    </row>
    <row r="4" spans="1:6" x14ac:dyDescent="0.3">
      <c r="A4" s="110"/>
      <c r="B4" s="117" t="s">
        <v>106</v>
      </c>
      <c r="C4" s="118">
        <f>IF(_44="",0,MIN(C3,_44))</f>
        <v>0</v>
      </c>
      <c r="F4" s="103"/>
    </row>
    <row r="5" spans="1:6" x14ac:dyDescent="0.3">
      <c r="A5" s="110"/>
      <c r="B5" s="119" t="s">
        <v>107</v>
      </c>
      <c r="C5" s="120">
        <f>C3-C4</f>
        <v>0</v>
      </c>
    </row>
    <row r="6" spans="1:6" x14ac:dyDescent="0.3">
      <c r="A6" s="110"/>
      <c r="B6" s="115"/>
      <c r="C6" s="116"/>
    </row>
    <row r="7" spans="1:6" x14ac:dyDescent="0.3">
      <c r="A7" s="110"/>
      <c r="B7" s="115" t="s">
        <v>108</v>
      </c>
      <c r="C7" s="116">
        <f>IF(C3&gt;0,SUM(vstupni_data!T42:T49),0)</f>
        <v>0</v>
      </c>
    </row>
    <row r="8" spans="1:6" x14ac:dyDescent="0.3">
      <c r="A8" s="110"/>
      <c r="B8" s="119" t="s">
        <v>109</v>
      </c>
      <c r="C8" s="120">
        <f>ROUNDDOWN(C5-C7,-2)</f>
        <v>0</v>
      </c>
    </row>
    <row r="9" spans="1:6" x14ac:dyDescent="0.3">
      <c r="A9" s="110"/>
      <c r="B9" s="119"/>
      <c r="C9" s="120"/>
    </row>
    <row r="10" spans="1:6" x14ac:dyDescent="0.3">
      <c r="A10" s="110"/>
      <c r="B10" s="121" t="s">
        <v>110</v>
      </c>
      <c r="C10" s="122">
        <f t="array" ref="C10">_31</f>
        <v>0</v>
      </c>
    </row>
    <row r="11" spans="1:6" x14ac:dyDescent="0.3">
      <c r="A11" s="110"/>
      <c r="B11" s="121" t="s">
        <v>111</v>
      </c>
      <c r="C11" s="122">
        <f>C10+C8</f>
        <v>0</v>
      </c>
    </row>
    <row r="12" spans="1:6" x14ac:dyDescent="0.3">
      <c r="A12" s="110"/>
      <c r="B12" s="121" t="s">
        <v>112</v>
      </c>
      <c r="C12" s="122" t="str">
        <f>IF(AND(C11&gt;C23,C3&lt;&gt;0),"ANO","NE")</f>
        <v>NE</v>
      </c>
    </row>
    <row r="13" spans="1:6" x14ac:dyDescent="0.3">
      <c r="A13" s="110"/>
      <c r="B13" s="121" t="s">
        <v>113</v>
      </c>
      <c r="C13" s="122">
        <f>IF(AND(C11&gt;C23,C3&lt;&gt;0),IF(C10&gt;=C23,C8,C11-C23),0)</f>
        <v>0</v>
      </c>
    </row>
    <row r="14" spans="1:6" x14ac:dyDescent="0.3">
      <c r="A14" s="110"/>
      <c r="B14" s="121" t="s">
        <v>114</v>
      </c>
      <c r="C14" s="122">
        <f>C13*(E23+E17)</f>
        <v>0</v>
      </c>
    </row>
    <row r="15" spans="1:6" x14ac:dyDescent="0.3">
      <c r="A15" s="110"/>
      <c r="B15" s="119"/>
      <c r="C15" s="123"/>
    </row>
    <row r="16" spans="1:6" x14ac:dyDescent="0.3">
      <c r="A16" s="110"/>
      <c r="B16" s="124" t="s">
        <v>115</v>
      </c>
      <c r="C16" s="116">
        <f>C8-C13</f>
        <v>0</v>
      </c>
    </row>
    <row r="17" spans="1:6" x14ac:dyDescent="0.3">
      <c r="A17" s="110"/>
      <c r="B17" s="119" t="s">
        <v>116</v>
      </c>
      <c r="C17" s="120">
        <f>(C16*E17)+C14</f>
        <v>0</v>
      </c>
      <c r="E17" s="125">
        <v>0.15</v>
      </c>
    </row>
    <row r="18" spans="1:6" ht="15" thickBot="1" x14ac:dyDescent="0.35">
      <c r="A18" s="110"/>
      <c r="B18" s="115" t="s">
        <v>117</v>
      </c>
      <c r="C18" s="126">
        <f>IF(C3&gt;0,IF(vstupni_data!T19=0,SUM(vstupni_data!T52:T61),0),0)</f>
        <v>0</v>
      </c>
    </row>
    <row r="19" spans="1:6" ht="15" thickBot="1" x14ac:dyDescent="0.35">
      <c r="A19" s="110"/>
      <c r="B19" s="127" t="s">
        <v>118</v>
      </c>
      <c r="C19" s="128">
        <f>IF(IF((C17-C18)&gt;0,C17-C18,0)&gt;=0,IF((C17-C18)&gt;0,C17-C18,0),0)</f>
        <v>0</v>
      </c>
    </row>
    <row r="20" spans="1:6" x14ac:dyDescent="0.3">
      <c r="A20" s="110"/>
      <c r="B20" s="129"/>
      <c r="C20" s="130"/>
    </row>
    <row r="21" spans="1:6" x14ac:dyDescent="0.3">
      <c r="A21" s="110"/>
      <c r="B21" s="129"/>
      <c r="C21" s="130"/>
    </row>
    <row r="22" spans="1:6" x14ac:dyDescent="0.3">
      <c r="A22" s="110" t="s">
        <v>119</v>
      </c>
      <c r="B22" s="129"/>
      <c r="C22" s="130"/>
    </row>
    <row r="23" spans="1:6" x14ac:dyDescent="0.3">
      <c r="A23" s="110"/>
      <c r="B23" s="131" t="s">
        <v>120</v>
      </c>
      <c r="C23" s="212">
        <v>1582812</v>
      </c>
      <c r="E23" s="125">
        <v>0.08</v>
      </c>
    </row>
    <row r="24" spans="1:6" x14ac:dyDescent="0.3">
      <c r="A24" s="110"/>
      <c r="B24" s="129"/>
      <c r="C24" s="130"/>
    </row>
    <row r="25" spans="1:6" x14ac:dyDescent="0.3">
      <c r="A25" s="110"/>
      <c r="C25" s="106"/>
    </row>
    <row r="26" spans="1:6" x14ac:dyDescent="0.3">
      <c r="A26" s="113" t="s">
        <v>121</v>
      </c>
      <c r="B26" s="55"/>
      <c r="C26" s="114"/>
      <c r="D26" s="55"/>
      <c r="E26" s="55"/>
      <c r="F26" s="55"/>
    </row>
    <row r="27" spans="1:6" x14ac:dyDescent="0.3">
      <c r="A27" s="110"/>
      <c r="B27" s="115" t="s">
        <v>122</v>
      </c>
      <c r="C27" s="116">
        <f>_38</f>
        <v>0</v>
      </c>
    </row>
    <row r="28" spans="1:6" x14ac:dyDescent="0.3">
      <c r="A28" s="110"/>
      <c r="B28" s="117" t="s">
        <v>106</v>
      </c>
      <c r="C28" s="118">
        <f>IF(_44="",0,MIN((_44-C4-C40),C27))</f>
        <v>0</v>
      </c>
      <c r="F28" s="103"/>
    </row>
    <row r="29" spans="1:6" x14ac:dyDescent="0.3">
      <c r="A29" s="110"/>
      <c r="B29" s="119" t="s">
        <v>107</v>
      </c>
      <c r="C29" s="120">
        <f>C27-C28</f>
        <v>0</v>
      </c>
    </row>
    <row r="30" spans="1:6" x14ac:dyDescent="0.3">
      <c r="A30" s="110"/>
      <c r="B30" s="115"/>
      <c r="C30" s="116"/>
    </row>
    <row r="31" spans="1:6" x14ac:dyDescent="0.3">
      <c r="A31" s="110"/>
      <c r="B31" s="115" t="s">
        <v>108</v>
      </c>
      <c r="C31" s="116">
        <f>IF(AND(C7=0,C43=0,C29&gt;0),SUM(vstupni_data!T42:T49),0)</f>
        <v>0</v>
      </c>
    </row>
    <row r="32" spans="1:6" x14ac:dyDescent="0.3">
      <c r="A32" s="110"/>
      <c r="B32" s="119" t="s">
        <v>109</v>
      </c>
      <c r="C32" s="120">
        <f>ROUNDDOWN(C27-C31,-2)</f>
        <v>0</v>
      </c>
    </row>
    <row r="33" spans="1:6" x14ac:dyDescent="0.3">
      <c r="A33" s="110"/>
      <c r="B33" s="115"/>
      <c r="C33" s="116"/>
    </row>
    <row r="34" spans="1:6" x14ac:dyDescent="0.3">
      <c r="A34" s="110"/>
      <c r="B34" s="119" t="s">
        <v>116</v>
      </c>
      <c r="C34" s="120">
        <f>C32*E34</f>
        <v>0</v>
      </c>
      <c r="E34" s="132">
        <v>0.15</v>
      </c>
    </row>
    <row r="35" spans="1:6" ht="15" thickBot="1" x14ac:dyDescent="0.35">
      <c r="A35" s="110"/>
      <c r="B35" s="115" t="s">
        <v>117</v>
      </c>
      <c r="C35" s="133">
        <f>IF(AND(C18=0,C47=0,C27&gt;0),IF(vstupni_data!R19=0,SUM(vstupni_data!T52:T60),SUM(vstupni_data!T53:T60)),0)</f>
        <v>0</v>
      </c>
    </row>
    <row r="36" spans="1:6" ht="15" thickBot="1" x14ac:dyDescent="0.35">
      <c r="A36" s="110"/>
      <c r="B36" s="127" t="s">
        <v>118</v>
      </c>
      <c r="C36" s="134">
        <f>IF((C34-C35)&gt;0,C34-C35,0)</f>
        <v>0</v>
      </c>
    </row>
    <row r="37" spans="1:6" x14ac:dyDescent="0.3">
      <c r="A37" s="110"/>
      <c r="C37" s="106"/>
    </row>
    <row r="38" spans="1:6" x14ac:dyDescent="0.3">
      <c r="A38" s="113" t="s">
        <v>123</v>
      </c>
      <c r="B38" s="55"/>
      <c r="C38" s="114"/>
      <c r="D38" s="55"/>
      <c r="E38" s="55"/>
      <c r="F38" s="55"/>
    </row>
    <row r="39" spans="1:6" x14ac:dyDescent="0.3">
      <c r="A39" s="110"/>
      <c r="B39" s="115" t="s">
        <v>124</v>
      </c>
      <c r="C39" s="116">
        <f>_39</f>
        <v>0</v>
      </c>
    </row>
    <row r="40" spans="1:6" x14ac:dyDescent="0.3">
      <c r="A40" s="110"/>
      <c r="B40" s="117" t="s">
        <v>106</v>
      </c>
      <c r="C40" s="118">
        <f>IF(_44="",0,MIN((_44-C4),C39))</f>
        <v>0</v>
      </c>
      <c r="F40" s="103"/>
    </row>
    <row r="41" spans="1:6" x14ac:dyDescent="0.3">
      <c r="A41" s="110"/>
      <c r="B41" s="119" t="s">
        <v>107</v>
      </c>
      <c r="C41" s="120">
        <f>C39-C40</f>
        <v>0</v>
      </c>
    </row>
    <row r="42" spans="1:6" x14ac:dyDescent="0.3">
      <c r="A42" s="110"/>
      <c r="B42" s="115"/>
      <c r="C42" s="116"/>
    </row>
    <row r="43" spans="1:6" x14ac:dyDescent="0.3">
      <c r="A43" s="110"/>
      <c r="B43" s="115" t="s">
        <v>108</v>
      </c>
      <c r="C43" s="116">
        <f>IF(AND(C7=0,C39&gt;0),SUM(vstupni_data!T42:T49),0)</f>
        <v>0</v>
      </c>
    </row>
    <row r="44" spans="1:6" x14ac:dyDescent="0.3">
      <c r="A44" s="110"/>
      <c r="B44" s="119" t="s">
        <v>109</v>
      </c>
      <c r="C44" s="120">
        <f>ROUNDDOWN(C41-C43,-2)</f>
        <v>0</v>
      </c>
    </row>
    <row r="45" spans="1:6" x14ac:dyDescent="0.3">
      <c r="A45" s="110"/>
      <c r="B45" s="115"/>
      <c r="C45" s="116"/>
    </row>
    <row r="46" spans="1:6" x14ac:dyDescent="0.3">
      <c r="A46" s="110"/>
      <c r="B46" s="119" t="s">
        <v>116</v>
      </c>
      <c r="C46" s="120">
        <f>C44*E46</f>
        <v>0</v>
      </c>
      <c r="E46" s="125">
        <v>0.15</v>
      </c>
    </row>
    <row r="47" spans="1:6" ht="15" thickBot="1" x14ac:dyDescent="0.35">
      <c r="A47" s="110"/>
      <c r="B47" s="115" t="s">
        <v>117</v>
      </c>
      <c r="C47" s="126">
        <f>IF(AND(C18=0,C39&gt;0),IF(vstupni_data!T19=0,SUM(vstupni_data!T52:T61),0),0)</f>
        <v>0</v>
      </c>
    </row>
    <row r="48" spans="1:6" ht="15" thickBot="1" x14ac:dyDescent="0.35">
      <c r="A48" s="110"/>
      <c r="B48" s="127" t="s">
        <v>118</v>
      </c>
      <c r="C48" s="128">
        <f>IF(C19+IF((C46-C47)&gt;0,C46-C47,0)&lt;0,0,IF(C19&lt;0,C19+IF((C46-C47)&gt;0,C46-C47,0),IF((C46-C47)&gt;0,C46-C47,0)))</f>
        <v>0</v>
      </c>
    </row>
    <row r="49" spans="1:6" x14ac:dyDescent="0.3">
      <c r="A49" s="110"/>
      <c r="C49" s="106"/>
    </row>
    <row r="50" spans="1:6" x14ac:dyDescent="0.3">
      <c r="A50" s="113" t="s">
        <v>125</v>
      </c>
      <c r="B50" s="55"/>
      <c r="C50" s="114"/>
      <c r="D50" s="55"/>
      <c r="E50" s="55"/>
      <c r="F50" s="55"/>
    </row>
    <row r="51" spans="1:6" x14ac:dyDescent="0.3">
      <c r="A51" s="110"/>
      <c r="B51" s="115" t="s">
        <v>126</v>
      </c>
      <c r="C51" s="116">
        <v>0</v>
      </c>
    </row>
  </sheetData>
  <pageMargins left="0.7" right="0.7" top="0.78740157499999996" bottom="0.78740157499999996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7"/>
  <dimension ref="A1:I121"/>
  <sheetViews>
    <sheetView topLeftCell="A93" workbookViewId="0">
      <selection activeCell="A38" sqref="A38:C121"/>
    </sheetView>
  </sheetViews>
  <sheetFormatPr defaultColWidth="8.6640625" defaultRowHeight="14.4" x14ac:dyDescent="0.3"/>
  <cols>
    <col min="1" max="1" width="79.6640625" bestFit="1" customWidth="1"/>
    <col min="2" max="2" width="12.33203125" bestFit="1" customWidth="1"/>
    <col min="3" max="3" width="15.6640625" customWidth="1"/>
    <col min="6" max="6" width="14.33203125" bestFit="1" customWidth="1"/>
    <col min="7" max="7" width="6.6640625" customWidth="1"/>
    <col min="8" max="8" width="19.33203125" bestFit="1" customWidth="1"/>
    <col min="9" max="9" width="23.44140625" bestFit="1" customWidth="1"/>
  </cols>
  <sheetData>
    <row r="1" spans="1:9" ht="26.4" x14ac:dyDescent="0.3">
      <c r="A1" s="227" t="s">
        <v>127</v>
      </c>
      <c r="B1" s="227" t="s">
        <v>128</v>
      </c>
      <c r="C1" s="229" t="s">
        <v>129</v>
      </c>
      <c r="D1" s="61"/>
      <c r="F1" s="228" t="s">
        <v>257</v>
      </c>
      <c r="G1" s="233"/>
    </row>
    <row r="2" spans="1:9" x14ac:dyDescent="0.3">
      <c r="A2" s="88"/>
      <c r="B2" s="89"/>
      <c r="C2" s="89"/>
      <c r="G2" s="233" t="s">
        <v>258</v>
      </c>
    </row>
    <row r="3" spans="1:9" x14ac:dyDescent="0.3">
      <c r="A3" s="88" t="s">
        <v>131</v>
      </c>
      <c r="B3" s="89">
        <v>0.8</v>
      </c>
      <c r="C3" s="89">
        <v>0.7</v>
      </c>
      <c r="D3">
        <v>2</v>
      </c>
      <c r="H3" s="228" t="s">
        <v>130</v>
      </c>
      <c r="I3" s="233" t="s">
        <v>132</v>
      </c>
    </row>
    <row r="4" spans="1:9" x14ac:dyDescent="0.3">
      <c r="A4" s="88" t="s">
        <v>133</v>
      </c>
      <c r="B4" s="89">
        <v>0.8</v>
      </c>
      <c r="C4" s="89">
        <v>0.7</v>
      </c>
      <c r="D4">
        <f>D3+1</f>
        <v>3</v>
      </c>
      <c r="I4" s="233" t="s">
        <v>134</v>
      </c>
    </row>
    <row r="5" spans="1:9" x14ac:dyDescent="0.3">
      <c r="A5" s="88" t="s">
        <v>135</v>
      </c>
      <c r="B5" s="89">
        <v>0.6</v>
      </c>
      <c r="C5" s="89">
        <v>0.4</v>
      </c>
      <c r="D5">
        <f t="shared" ref="D5:D32" si="0">D4+1</f>
        <v>4</v>
      </c>
      <c r="I5" s="233" t="s">
        <v>4</v>
      </c>
    </row>
    <row r="6" spans="1:9" x14ac:dyDescent="0.3">
      <c r="A6" s="88" t="s">
        <v>136</v>
      </c>
      <c r="B6" s="89">
        <v>0.8</v>
      </c>
      <c r="C6" s="89">
        <v>0.75</v>
      </c>
      <c r="D6">
        <f t="shared" si="0"/>
        <v>5</v>
      </c>
      <c r="I6" s="233" t="s">
        <v>137</v>
      </c>
    </row>
    <row r="7" spans="1:9" x14ac:dyDescent="0.3">
      <c r="A7" s="88" t="s">
        <v>138</v>
      </c>
      <c r="B7" s="89">
        <v>0.8</v>
      </c>
      <c r="C7" s="89">
        <v>0.65</v>
      </c>
      <c r="D7">
        <f t="shared" si="0"/>
        <v>6</v>
      </c>
    </row>
    <row r="8" spans="1:9" x14ac:dyDescent="0.3">
      <c r="A8" s="88" t="s">
        <v>139</v>
      </c>
      <c r="B8" s="89">
        <v>0.8</v>
      </c>
      <c r="C8" s="89">
        <v>0.6</v>
      </c>
      <c r="D8">
        <f t="shared" si="0"/>
        <v>7</v>
      </c>
    </row>
    <row r="9" spans="1:9" x14ac:dyDescent="0.3">
      <c r="A9" s="88" t="s">
        <v>140</v>
      </c>
      <c r="B9" s="89">
        <v>0.6</v>
      </c>
      <c r="C9" s="89">
        <v>0.5</v>
      </c>
      <c r="D9">
        <f t="shared" si="0"/>
        <v>8</v>
      </c>
    </row>
    <row r="10" spans="1:9" x14ac:dyDescent="0.3">
      <c r="A10" s="88" t="s">
        <v>141</v>
      </c>
      <c r="B10" s="89">
        <v>0.8</v>
      </c>
      <c r="C10" s="89">
        <v>0.6</v>
      </c>
      <c r="D10">
        <f t="shared" si="0"/>
        <v>9</v>
      </c>
    </row>
    <row r="11" spans="1:9" x14ac:dyDescent="0.3">
      <c r="A11" s="88" t="s">
        <v>142</v>
      </c>
      <c r="B11" s="89">
        <v>0.8</v>
      </c>
      <c r="C11" s="89">
        <v>0.6</v>
      </c>
      <c r="D11">
        <f t="shared" si="0"/>
        <v>10</v>
      </c>
    </row>
    <row r="12" spans="1:9" x14ac:dyDescent="0.3">
      <c r="A12" s="88" t="s">
        <v>143</v>
      </c>
      <c r="B12" s="89">
        <v>0.6</v>
      </c>
      <c r="C12" s="89">
        <v>0.5</v>
      </c>
      <c r="D12">
        <f t="shared" si="0"/>
        <v>11</v>
      </c>
    </row>
    <row r="13" spans="1:9" x14ac:dyDescent="0.3">
      <c r="A13" s="88" t="s">
        <v>10</v>
      </c>
      <c r="B13" s="89">
        <v>0.6</v>
      </c>
      <c r="C13" s="89">
        <v>0.3</v>
      </c>
      <c r="D13">
        <f t="shared" si="0"/>
        <v>12</v>
      </c>
    </row>
    <row r="14" spans="1:9" x14ac:dyDescent="0.3">
      <c r="A14" s="88" t="s">
        <v>144</v>
      </c>
      <c r="B14" s="89">
        <v>0.6</v>
      </c>
      <c r="C14" s="89">
        <v>0.3</v>
      </c>
      <c r="D14">
        <f t="shared" si="0"/>
        <v>13</v>
      </c>
    </row>
    <row r="15" spans="1:9" x14ac:dyDescent="0.3">
      <c r="A15" s="88" t="s">
        <v>145</v>
      </c>
      <c r="B15" s="89">
        <v>0.6</v>
      </c>
      <c r="C15" s="89">
        <v>0.4</v>
      </c>
      <c r="D15">
        <f t="shared" si="0"/>
        <v>14</v>
      </c>
    </row>
    <row r="16" spans="1:9" x14ac:dyDescent="0.3">
      <c r="A16" s="88" t="s">
        <v>146</v>
      </c>
      <c r="B16" s="89">
        <v>0.6</v>
      </c>
      <c r="C16" s="89">
        <v>0.4</v>
      </c>
      <c r="D16">
        <f t="shared" si="0"/>
        <v>15</v>
      </c>
    </row>
    <row r="17" spans="1:4" x14ac:dyDescent="0.3">
      <c r="A17" s="88" t="s">
        <v>147</v>
      </c>
      <c r="B17" s="89">
        <v>0.6</v>
      </c>
      <c r="C17" s="89">
        <v>0.4</v>
      </c>
      <c r="D17">
        <f t="shared" si="0"/>
        <v>16</v>
      </c>
    </row>
    <row r="18" spans="1:4" x14ac:dyDescent="0.3">
      <c r="A18" s="88" t="s">
        <v>148</v>
      </c>
      <c r="B18" s="89">
        <v>0.6</v>
      </c>
      <c r="C18" s="89">
        <v>0.45</v>
      </c>
      <c r="D18">
        <f t="shared" si="0"/>
        <v>17</v>
      </c>
    </row>
    <row r="19" spans="1:4" x14ac:dyDescent="0.3">
      <c r="A19" s="88" t="s">
        <v>149</v>
      </c>
      <c r="B19" s="90" t="s">
        <v>150</v>
      </c>
      <c r="C19" s="89">
        <v>0.3</v>
      </c>
      <c r="D19">
        <f t="shared" si="0"/>
        <v>18</v>
      </c>
    </row>
    <row r="20" spans="1:4" x14ac:dyDescent="0.3">
      <c r="A20" s="88" t="s">
        <v>151</v>
      </c>
      <c r="B20" s="89">
        <v>0.6</v>
      </c>
      <c r="C20" s="89">
        <v>0.4</v>
      </c>
      <c r="D20">
        <f t="shared" si="0"/>
        <v>19</v>
      </c>
    </row>
    <row r="21" spans="1:4" x14ac:dyDescent="0.3">
      <c r="A21" s="88" t="s">
        <v>152</v>
      </c>
      <c r="B21" s="90" t="s">
        <v>150</v>
      </c>
      <c r="C21" s="89">
        <v>0.4</v>
      </c>
      <c r="D21">
        <f t="shared" si="0"/>
        <v>20</v>
      </c>
    </row>
    <row r="22" spans="1:4" x14ac:dyDescent="0.3">
      <c r="A22" s="88" t="s">
        <v>153</v>
      </c>
      <c r="B22" s="89">
        <v>0.6</v>
      </c>
      <c r="C22" s="89">
        <v>0.55000000000000004</v>
      </c>
      <c r="D22">
        <f t="shared" si="0"/>
        <v>21</v>
      </c>
    </row>
    <row r="23" spans="1:4" x14ac:dyDescent="0.3">
      <c r="A23" s="88" t="s">
        <v>154</v>
      </c>
      <c r="B23" s="89">
        <v>0.6</v>
      </c>
      <c r="C23" s="89">
        <v>0.4</v>
      </c>
      <c r="D23">
        <f t="shared" si="0"/>
        <v>22</v>
      </c>
    </row>
    <row r="24" spans="1:4" x14ac:dyDescent="0.3">
      <c r="A24" s="88" t="s">
        <v>155</v>
      </c>
      <c r="B24" s="89">
        <v>0.6</v>
      </c>
      <c r="C24" s="89">
        <v>0.4</v>
      </c>
      <c r="D24">
        <f t="shared" si="0"/>
        <v>23</v>
      </c>
    </row>
    <row r="25" spans="1:4" x14ac:dyDescent="0.3">
      <c r="A25" s="88" t="s">
        <v>156</v>
      </c>
      <c r="B25" s="89">
        <v>0.4</v>
      </c>
      <c r="C25" s="89">
        <v>0.25</v>
      </c>
      <c r="D25">
        <f t="shared" si="0"/>
        <v>24</v>
      </c>
    </row>
    <row r="26" spans="1:4" x14ac:dyDescent="0.3">
      <c r="A26" s="88" t="s">
        <v>157</v>
      </c>
      <c r="B26" s="89">
        <v>0.4</v>
      </c>
      <c r="C26" s="89">
        <v>0.3</v>
      </c>
      <c r="D26">
        <f t="shared" si="0"/>
        <v>25</v>
      </c>
    </row>
    <row r="27" spans="1:4" x14ac:dyDescent="0.3">
      <c r="A27" s="88" t="s">
        <v>158</v>
      </c>
      <c r="B27" s="89">
        <v>0.6</v>
      </c>
      <c r="C27" s="89">
        <v>0.4</v>
      </c>
      <c r="D27">
        <f t="shared" si="0"/>
        <v>26</v>
      </c>
    </row>
    <row r="28" spans="1:4" x14ac:dyDescent="0.3">
      <c r="A28" s="88" t="s">
        <v>159</v>
      </c>
      <c r="B28" s="89">
        <v>0.6</v>
      </c>
      <c r="C28" s="89">
        <v>0.5</v>
      </c>
      <c r="D28">
        <f t="shared" si="0"/>
        <v>27</v>
      </c>
    </row>
    <row r="29" spans="1:4" x14ac:dyDescent="0.3">
      <c r="A29" s="88" t="s">
        <v>160</v>
      </c>
      <c r="B29" s="89">
        <v>0.6</v>
      </c>
      <c r="C29" s="89">
        <v>0.55000000000000004</v>
      </c>
      <c r="D29">
        <f t="shared" si="0"/>
        <v>28</v>
      </c>
    </row>
    <row r="30" spans="1:4" x14ac:dyDescent="0.3">
      <c r="A30" s="88" t="s">
        <v>161</v>
      </c>
      <c r="B30" s="89">
        <v>0.4</v>
      </c>
      <c r="C30" s="89">
        <v>0.35</v>
      </c>
      <c r="D30">
        <f t="shared" si="0"/>
        <v>29</v>
      </c>
    </row>
    <row r="31" spans="1:4" x14ac:dyDescent="0.3">
      <c r="A31" s="88" t="s">
        <v>162</v>
      </c>
      <c r="B31" s="89">
        <v>0.8</v>
      </c>
      <c r="C31" s="89">
        <v>0.55000000000000004</v>
      </c>
      <c r="D31">
        <f t="shared" si="0"/>
        <v>30</v>
      </c>
    </row>
    <row r="32" spans="1:4" x14ac:dyDescent="0.3">
      <c r="A32" s="88" t="s">
        <v>163</v>
      </c>
      <c r="B32" s="89">
        <v>0.8</v>
      </c>
      <c r="C32" s="89">
        <v>0.5</v>
      </c>
      <c r="D32">
        <f t="shared" si="0"/>
        <v>31</v>
      </c>
    </row>
    <row r="37" spans="1:3" x14ac:dyDescent="0.3">
      <c r="A37" s="227" t="s">
        <v>127</v>
      </c>
      <c r="B37" s="227" t="s">
        <v>128</v>
      </c>
    </row>
    <row r="38" spans="1:3" x14ac:dyDescent="0.3">
      <c r="A38" s="225"/>
      <c r="B38" s="225"/>
    </row>
    <row r="39" spans="1:3" x14ac:dyDescent="0.3">
      <c r="A39" t="s">
        <v>164</v>
      </c>
      <c r="B39" s="226">
        <v>0.8</v>
      </c>
      <c r="C39">
        <v>1</v>
      </c>
    </row>
    <row r="40" spans="1:3" x14ac:dyDescent="0.3">
      <c r="A40" t="s">
        <v>131</v>
      </c>
      <c r="B40" s="226">
        <v>0.8</v>
      </c>
      <c r="C40">
        <v>1</v>
      </c>
    </row>
    <row r="41" spans="1:3" x14ac:dyDescent="0.3">
      <c r="A41" t="s">
        <v>165</v>
      </c>
      <c r="B41" s="226">
        <v>0.8</v>
      </c>
      <c r="C41">
        <v>1</v>
      </c>
    </row>
    <row r="42" spans="1:3" x14ac:dyDescent="0.3">
      <c r="A42" t="s">
        <v>166</v>
      </c>
      <c r="B42" s="226">
        <v>0.4</v>
      </c>
      <c r="C42">
        <v>1</v>
      </c>
    </row>
    <row r="43" spans="1:3" x14ac:dyDescent="0.3">
      <c r="A43" t="s">
        <v>167</v>
      </c>
      <c r="B43" s="226">
        <v>0.4</v>
      </c>
      <c r="C43">
        <v>1</v>
      </c>
    </row>
    <row r="44" spans="1:3" x14ac:dyDescent="0.3">
      <c r="A44" t="s">
        <v>168</v>
      </c>
      <c r="B44" s="226">
        <v>0.4</v>
      </c>
      <c r="C44">
        <v>1</v>
      </c>
    </row>
    <row r="45" spans="1:3" x14ac:dyDescent="0.3">
      <c r="A45" t="s">
        <v>169</v>
      </c>
      <c r="B45" s="226">
        <v>0.4</v>
      </c>
      <c r="C45">
        <v>1</v>
      </c>
    </row>
    <row r="46" spans="1:3" x14ac:dyDescent="0.3">
      <c r="A46" t="s">
        <v>170</v>
      </c>
      <c r="B46" s="226">
        <v>0.4</v>
      </c>
      <c r="C46">
        <v>1</v>
      </c>
    </row>
    <row r="47" spans="1:3" x14ac:dyDescent="0.3">
      <c r="A47" t="s">
        <v>171</v>
      </c>
      <c r="B47" s="226">
        <v>0.8</v>
      </c>
      <c r="C47">
        <v>1</v>
      </c>
    </row>
    <row r="48" spans="1:3" x14ac:dyDescent="0.3">
      <c r="A48" t="s">
        <v>133</v>
      </c>
      <c r="B48" s="226">
        <v>0.8</v>
      </c>
      <c r="C48">
        <v>1</v>
      </c>
    </row>
    <row r="49" spans="1:3" x14ac:dyDescent="0.3">
      <c r="A49" t="s">
        <v>172</v>
      </c>
      <c r="B49" s="226">
        <v>0.6</v>
      </c>
      <c r="C49">
        <v>1</v>
      </c>
    </row>
    <row r="50" spans="1:3" x14ac:dyDescent="0.3">
      <c r="A50" t="s">
        <v>173</v>
      </c>
      <c r="B50" s="226">
        <v>0.8</v>
      </c>
      <c r="C50">
        <v>1</v>
      </c>
    </row>
    <row r="51" spans="1:3" x14ac:dyDescent="0.3">
      <c r="A51" t="s">
        <v>174</v>
      </c>
      <c r="B51" s="226">
        <v>0.8</v>
      </c>
      <c r="C51">
        <v>1</v>
      </c>
    </row>
    <row r="52" spans="1:3" x14ac:dyDescent="0.3">
      <c r="A52" t="s">
        <v>175</v>
      </c>
      <c r="B52" s="226">
        <v>0.8</v>
      </c>
      <c r="C52">
        <v>1</v>
      </c>
    </row>
    <row r="53" spans="1:3" x14ac:dyDescent="0.3">
      <c r="A53" t="s">
        <v>176</v>
      </c>
      <c r="B53" s="226">
        <v>0.8</v>
      </c>
      <c r="C53">
        <v>1</v>
      </c>
    </row>
    <row r="54" spans="1:3" x14ac:dyDescent="0.3">
      <c r="A54" t="s">
        <v>177</v>
      </c>
      <c r="B54" s="226">
        <v>0.8</v>
      </c>
      <c r="C54">
        <v>1</v>
      </c>
    </row>
    <row r="55" spans="1:3" x14ac:dyDescent="0.3">
      <c r="A55" t="s">
        <v>135</v>
      </c>
      <c r="B55" s="226">
        <v>0.6</v>
      </c>
      <c r="C55">
        <v>1</v>
      </c>
    </row>
    <row r="56" spans="1:3" x14ac:dyDescent="0.3">
      <c r="A56" t="s">
        <v>178</v>
      </c>
      <c r="B56" s="226">
        <v>0.6</v>
      </c>
      <c r="C56">
        <v>1</v>
      </c>
    </row>
    <row r="57" spans="1:3" x14ac:dyDescent="0.3">
      <c r="A57" t="s">
        <v>179</v>
      </c>
      <c r="B57" s="226">
        <v>0.6</v>
      </c>
      <c r="C57">
        <v>1</v>
      </c>
    </row>
    <row r="58" spans="1:3" x14ac:dyDescent="0.3">
      <c r="A58" t="s">
        <v>180</v>
      </c>
      <c r="B58" s="226">
        <v>0.6</v>
      </c>
      <c r="C58">
        <v>1</v>
      </c>
    </row>
    <row r="59" spans="1:3" x14ac:dyDescent="0.3">
      <c r="A59" t="s">
        <v>181</v>
      </c>
      <c r="B59" s="226">
        <v>0.6</v>
      </c>
      <c r="C59">
        <v>1</v>
      </c>
    </row>
    <row r="60" spans="1:3" x14ac:dyDescent="0.3">
      <c r="A60" t="s">
        <v>182</v>
      </c>
      <c r="B60" s="226">
        <v>0.6</v>
      </c>
      <c r="C60">
        <v>1</v>
      </c>
    </row>
    <row r="61" spans="1:3" x14ac:dyDescent="0.3">
      <c r="A61" t="s">
        <v>183</v>
      </c>
      <c r="B61" s="226">
        <v>0.6</v>
      </c>
      <c r="C61">
        <v>1</v>
      </c>
    </row>
    <row r="62" spans="1:3" x14ac:dyDescent="0.3">
      <c r="A62" t="s">
        <v>184</v>
      </c>
      <c r="B62" s="226">
        <v>0.6</v>
      </c>
      <c r="C62">
        <v>1</v>
      </c>
    </row>
    <row r="63" spans="1:3" x14ac:dyDescent="0.3">
      <c r="A63" t="s">
        <v>185</v>
      </c>
      <c r="B63" s="226">
        <v>0.8</v>
      </c>
      <c r="C63">
        <v>1</v>
      </c>
    </row>
    <row r="64" spans="1:3" x14ac:dyDescent="0.3">
      <c r="A64" t="s">
        <v>186</v>
      </c>
      <c r="B64" s="226">
        <v>0.8</v>
      </c>
      <c r="C64">
        <v>1</v>
      </c>
    </row>
    <row r="65" spans="1:3" x14ac:dyDescent="0.3">
      <c r="A65" t="s">
        <v>187</v>
      </c>
      <c r="B65" s="226">
        <v>0.8</v>
      </c>
      <c r="C65">
        <v>1</v>
      </c>
    </row>
    <row r="66" spans="1:3" x14ac:dyDescent="0.3">
      <c r="A66" t="s">
        <v>188</v>
      </c>
      <c r="B66" s="226">
        <v>0.6</v>
      </c>
      <c r="C66">
        <v>1</v>
      </c>
    </row>
    <row r="67" spans="1:3" x14ac:dyDescent="0.3">
      <c r="A67" t="s">
        <v>189</v>
      </c>
      <c r="B67" s="226">
        <v>0.6</v>
      </c>
      <c r="C67">
        <v>1</v>
      </c>
    </row>
    <row r="68" spans="1:3" x14ac:dyDescent="0.3">
      <c r="A68" t="s">
        <v>190</v>
      </c>
      <c r="B68" s="226">
        <v>0.8</v>
      </c>
      <c r="C68">
        <v>1</v>
      </c>
    </row>
    <row r="69" spans="1:3" x14ac:dyDescent="0.3">
      <c r="A69" t="s">
        <v>136</v>
      </c>
      <c r="B69" s="226">
        <v>0.8</v>
      </c>
      <c r="C69">
        <v>1</v>
      </c>
    </row>
    <row r="70" spans="1:3" x14ac:dyDescent="0.3">
      <c r="A70" t="s">
        <v>138</v>
      </c>
      <c r="B70" s="226">
        <v>0.8</v>
      </c>
      <c r="C70">
        <v>1</v>
      </c>
    </row>
    <row r="71" spans="1:3" x14ac:dyDescent="0.3">
      <c r="A71" t="s">
        <v>191</v>
      </c>
      <c r="B71" s="226">
        <v>0.4</v>
      </c>
      <c r="C71">
        <v>1</v>
      </c>
    </row>
    <row r="72" spans="1:3" x14ac:dyDescent="0.3">
      <c r="A72" t="s">
        <v>192</v>
      </c>
      <c r="B72" s="226">
        <v>0.6</v>
      </c>
      <c r="C72">
        <v>1</v>
      </c>
    </row>
    <row r="73" spans="1:3" x14ac:dyDescent="0.3">
      <c r="A73" t="s">
        <v>193</v>
      </c>
      <c r="B73" s="226">
        <v>0.6</v>
      </c>
      <c r="C73">
        <v>1</v>
      </c>
    </row>
    <row r="74" spans="1:3" x14ac:dyDescent="0.3">
      <c r="A74" t="s">
        <v>194</v>
      </c>
      <c r="B74" s="226">
        <v>0.6</v>
      </c>
      <c r="C74">
        <v>1</v>
      </c>
    </row>
    <row r="75" spans="1:3" x14ac:dyDescent="0.3">
      <c r="A75" t="s">
        <v>195</v>
      </c>
      <c r="B75" s="226">
        <v>0.6</v>
      </c>
      <c r="C75">
        <v>1</v>
      </c>
    </row>
    <row r="76" spans="1:3" x14ac:dyDescent="0.3">
      <c r="A76" t="s">
        <v>196</v>
      </c>
      <c r="B76" s="226">
        <v>0.6</v>
      </c>
      <c r="C76">
        <v>1</v>
      </c>
    </row>
    <row r="77" spans="1:3" x14ac:dyDescent="0.3">
      <c r="A77" t="s">
        <v>197</v>
      </c>
      <c r="B77" s="226">
        <v>0.6</v>
      </c>
      <c r="C77">
        <v>1</v>
      </c>
    </row>
    <row r="78" spans="1:3" x14ac:dyDescent="0.3">
      <c r="A78" t="s">
        <v>139</v>
      </c>
      <c r="B78" s="226">
        <v>0.8</v>
      </c>
      <c r="C78">
        <v>1</v>
      </c>
    </row>
    <row r="79" spans="1:3" x14ac:dyDescent="0.3">
      <c r="A79" t="s">
        <v>198</v>
      </c>
      <c r="B79" s="226">
        <v>0.6</v>
      </c>
      <c r="C79">
        <v>1</v>
      </c>
    </row>
    <row r="80" spans="1:3" x14ac:dyDescent="0.3">
      <c r="A80" t="s">
        <v>199</v>
      </c>
      <c r="B80" s="226">
        <v>0.6</v>
      </c>
      <c r="C80">
        <v>1</v>
      </c>
    </row>
    <row r="81" spans="1:3" x14ac:dyDescent="0.3">
      <c r="A81" t="s">
        <v>140</v>
      </c>
      <c r="B81" s="226">
        <v>0.6</v>
      </c>
      <c r="C81">
        <v>1</v>
      </c>
    </row>
    <row r="82" spans="1:3" x14ac:dyDescent="0.3">
      <c r="A82" t="s">
        <v>200</v>
      </c>
      <c r="B82" s="226">
        <v>0.4</v>
      </c>
      <c r="C82">
        <v>1</v>
      </c>
    </row>
    <row r="83" spans="1:3" x14ac:dyDescent="0.3">
      <c r="A83" t="s">
        <v>201</v>
      </c>
      <c r="B83" s="226">
        <v>0.4</v>
      </c>
      <c r="C83">
        <v>1</v>
      </c>
    </row>
    <row r="84" spans="1:3" x14ac:dyDescent="0.3">
      <c r="A84" t="s">
        <v>202</v>
      </c>
      <c r="B84" s="226">
        <v>0.4</v>
      </c>
      <c r="C84">
        <v>1</v>
      </c>
    </row>
    <row r="85" spans="1:3" x14ac:dyDescent="0.3">
      <c r="A85" t="s">
        <v>203</v>
      </c>
      <c r="B85" s="226">
        <v>0.6</v>
      </c>
      <c r="C85">
        <v>1</v>
      </c>
    </row>
    <row r="86" spans="1:3" x14ac:dyDescent="0.3">
      <c r="A86" t="s">
        <v>204</v>
      </c>
      <c r="B86" s="226">
        <v>0.4</v>
      </c>
      <c r="C86">
        <v>1</v>
      </c>
    </row>
    <row r="87" spans="1:3" x14ac:dyDescent="0.3">
      <c r="A87" t="s">
        <v>141</v>
      </c>
      <c r="B87" s="226">
        <v>0.8</v>
      </c>
      <c r="C87">
        <v>1</v>
      </c>
    </row>
    <row r="88" spans="1:3" x14ac:dyDescent="0.3">
      <c r="A88" t="s">
        <v>142</v>
      </c>
      <c r="B88" s="226">
        <v>0.8</v>
      </c>
      <c r="C88">
        <v>1</v>
      </c>
    </row>
    <row r="89" spans="1:3" x14ac:dyDescent="0.3">
      <c r="A89" t="s">
        <v>143</v>
      </c>
      <c r="B89" s="226">
        <v>0.6</v>
      </c>
      <c r="C89">
        <v>1</v>
      </c>
    </row>
    <row r="90" spans="1:3" x14ac:dyDescent="0.3">
      <c r="A90" t="s">
        <v>205</v>
      </c>
      <c r="B90" s="226">
        <v>0.4</v>
      </c>
      <c r="C90">
        <v>1</v>
      </c>
    </row>
    <row r="91" spans="1:3" x14ac:dyDescent="0.3">
      <c r="A91" t="s">
        <v>206</v>
      </c>
      <c r="B91" s="226">
        <v>0.4</v>
      </c>
      <c r="C91">
        <v>1</v>
      </c>
    </row>
    <row r="92" spans="1:3" x14ac:dyDescent="0.3">
      <c r="A92" t="s">
        <v>207</v>
      </c>
      <c r="B92" s="226">
        <v>0.4</v>
      </c>
      <c r="C92">
        <v>1</v>
      </c>
    </row>
    <row r="93" spans="1:3" x14ac:dyDescent="0.3">
      <c r="A93" t="s">
        <v>10</v>
      </c>
      <c r="B93" s="226">
        <v>0.6</v>
      </c>
      <c r="C93">
        <v>1</v>
      </c>
    </row>
    <row r="94" spans="1:3" x14ac:dyDescent="0.3">
      <c r="A94" t="s">
        <v>144</v>
      </c>
      <c r="B94" s="226">
        <v>0.6</v>
      </c>
      <c r="C94">
        <v>1</v>
      </c>
    </row>
    <row r="95" spans="1:3" x14ac:dyDescent="0.3">
      <c r="A95" t="s">
        <v>145</v>
      </c>
      <c r="B95" s="226">
        <v>0.6</v>
      </c>
      <c r="C95">
        <v>1</v>
      </c>
    </row>
    <row r="96" spans="1:3" x14ac:dyDescent="0.3">
      <c r="A96" t="s">
        <v>146</v>
      </c>
      <c r="B96" s="226">
        <v>0.6</v>
      </c>
      <c r="C96">
        <v>1</v>
      </c>
    </row>
    <row r="97" spans="1:3" x14ac:dyDescent="0.3">
      <c r="A97" t="s">
        <v>147</v>
      </c>
      <c r="B97" s="226">
        <v>0.6</v>
      </c>
      <c r="C97">
        <v>1</v>
      </c>
    </row>
    <row r="98" spans="1:3" x14ac:dyDescent="0.3">
      <c r="A98" t="s">
        <v>148</v>
      </c>
      <c r="B98" s="226">
        <v>0.6</v>
      </c>
      <c r="C98">
        <v>1</v>
      </c>
    </row>
    <row r="99" spans="1:3" x14ac:dyDescent="0.3">
      <c r="A99" t="s">
        <v>149</v>
      </c>
      <c r="B99" s="230" t="s">
        <v>150</v>
      </c>
      <c r="C99">
        <v>18</v>
      </c>
    </row>
    <row r="100" spans="1:3" x14ac:dyDescent="0.3">
      <c r="A100" t="s">
        <v>151</v>
      </c>
      <c r="B100" s="226">
        <v>0.6</v>
      </c>
      <c r="C100">
        <v>1</v>
      </c>
    </row>
    <row r="101" spans="1:3" x14ac:dyDescent="0.3">
      <c r="A101" t="s">
        <v>152</v>
      </c>
      <c r="B101" s="230" t="s">
        <v>150</v>
      </c>
      <c r="C101">
        <v>20</v>
      </c>
    </row>
    <row r="102" spans="1:3" x14ac:dyDescent="0.3">
      <c r="A102" t="s">
        <v>153</v>
      </c>
      <c r="B102" s="226">
        <v>0.6</v>
      </c>
      <c r="C102">
        <v>1</v>
      </c>
    </row>
    <row r="103" spans="1:3" x14ac:dyDescent="0.3">
      <c r="A103" t="s">
        <v>154</v>
      </c>
      <c r="B103" s="226">
        <v>0.6</v>
      </c>
      <c r="C103">
        <v>1</v>
      </c>
    </row>
    <row r="104" spans="1:3" x14ac:dyDescent="0.3">
      <c r="A104" t="s">
        <v>155</v>
      </c>
      <c r="B104" s="226">
        <v>0.6</v>
      </c>
      <c r="C104">
        <v>1</v>
      </c>
    </row>
    <row r="105" spans="1:3" x14ac:dyDescent="0.3">
      <c r="A105" t="s">
        <v>208</v>
      </c>
      <c r="B105" s="226">
        <v>0.4</v>
      </c>
      <c r="C105">
        <v>1</v>
      </c>
    </row>
    <row r="106" spans="1:3" x14ac:dyDescent="0.3">
      <c r="A106" t="s">
        <v>156</v>
      </c>
      <c r="B106" s="226">
        <v>0.3</v>
      </c>
      <c r="C106">
        <v>1</v>
      </c>
    </row>
    <row r="107" spans="1:3" x14ac:dyDescent="0.3">
      <c r="A107" t="s">
        <v>157</v>
      </c>
      <c r="B107" s="226">
        <v>0.4</v>
      </c>
      <c r="C107">
        <v>1</v>
      </c>
    </row>
    <row r="108" spans="1:3" x14ac:dyDescent="0.3">
      <c r="A108" t="s">
        <v>209</v>
      </c>
      <c r="B108" s="226">
        <v>0.6</v>
      </c>
      <c r="C108">
        <v>1</v>
      </c>
    </row>
    <row r="109" spans="1:3" x14ac:dyDescent="0.3">
      <c r="A109" t="s">
        <v>210</v>
      </c>
      <c r="B109" s="226">
        <v>0.4</v>
      </c>
      <c r="C109">
        <v>1</v>
      </c>
    </row>
    <row r="110" spans="1:3" x14ac:dyDescent="0.3">
      <c r="A110" t="s">
        <v>158</v>
      </c>
      <c r="B110" s="226">
        <v>0.6</v>
      </c>
      <c r="C110">
        <v>1</v>
      </c>
    </row>
    <row r="111" spans="1:3" x14ac:dyDescent="0.3">
      <c r="A111" t="s">
        <v>159</v>
      </c>
      <c r="B111" s="226">
        <v>0.6</v>
      </c>
      <c r="C111">
        <v>1</v>
      </c>
    </row>
    <row r="112" spans="1:3" x14ac:dyDescent="0.3">
      <c r="A112" t="s">
        <v>160</v>
      </c>
      <c r="B112" s="226">
        <v>0.6</v>
      </c>
      <c r="C112">
        <v>1</v>
      </c>
    </row>
    <row r="113" spans="1:3" x14ac:dyDescent="0.3">
      <c r="A113" t="s">
        <v>211</v>
      </c>
      <c r="B113" s="226">
        <v>0.4</v>
      </c>
      <c r="C113">
        <v>1</v>
      </c>
    </row>
    <row r="114" spans="1:3" x14ac:dyDescent="0.3">
      <c r="A114" t="s">
        <v>212</v>
      </c>
      <c r="B114" s="226">
        <v>0.4</v>
      </c>
      <c r="C114">
        <v>1</v>
      </c>
    </row>
    <row r="115" spans="1:3" x14ac:dyDescent="0.3">
      <c r="A115" t="s">
        <v>161</v>
      </c>
      <c r="B115" s="226">
        <v>0.4</v>
      </c>
      <c r="C115">
        <v>1</v>
      </c>
    </row>
    <row r="116" spans="1:3" x14ac:dyDescent="0.3">
      <c r="A116" t="s">
        <v>213</v>
      </c>
      <c r="B116" s="226">
        <v>0.4</v>
      </c>
      <c r="C116">
        <v>1</v>
      </c>
    </row>
    <row r="117" spans="1:3" x14ac:dyDescent="0.3">
      <c r="A117" t="s">
        <v>214</v>
      </c>
      <c r="B117" s="226">
        <v>0.4</v>
      </c>
      <c r="C117">
        <v>1</v>
      </c>
    </row>
    <row r="118" spans="1:3" x14ac:dyDescent="0.3">
      <c r="A118" t="s">
        <v>215</v>
      </c>
      <c r="B118" s="226">
        <v>0.4</v>
      </c>
      <c r="C118">
        <v>1</v>
      </c>
    </row>
    <row r="119" spans="1:3" x14ac:dyDescent="0.3">
      <c r="A119" t="s">
        <v>216</v>
      </c>
      <c r="B119" s="226">
        <v>0.4</v>
      </c>
      <c r="C119">
        <v>1</v>
      </c>
    </row>
    <row r="120" spans="1:3" x14ac:dyDescent="0.3">
      <c r="A120" t="s">
        <v>162</v>
      </c>
      <c r="B120" s="226">
        <v>0.8</v>
      </c>
      <c r="C120">
        <v>1</v>
      </c>
    </row>
    <row r="121" spans="1:3" x14ac:dyDescent="0.3">
      <c r="A121" t="s">
        <v>163</v>
      </c>
      <c r="B121" s="226">
        <v>0.8</v>
      </c>
      <c r="C121">
        <v>1</v>
      </c>
    </row>
  </sheetData>
  <pageMargins left="0.7" right="0.7" top="0.78740157499999996" bottom="0.78740157499999996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/>
  <dimension ref="A1:C23"/>
  <sheetViews>
    <sheetView workbookViewId="0">
      <selection activeCell="H24" sqref="H24"/>
    </sheetView>
  </sheetViews>
  <sheetFormatPr defaultColWidth="8.6640625" defaultRowHeight="14.4" x14ac:dyDescent="0.3"/>
  <cols>
    <col min="1" max="1" width="32.33203125" bestFit="1" customWidth="1"/>
    <col min="2" max="2" width="41.44140625" bestFit="1" customWidth="1"/>
    <col min="3" max="3" width="12" bestFit="1" customWidth="1"/>
  </cols>
  <sheetData>
    <row r="1" spans="1:3" x14ac:dyDescent="0.3">
      <c r="A1" s="91"/>
      <c r="B1" s="20"/>
      <c r="C1" s="20"/>
    </row>
    <row r="2" spans="1:3" ht="15" thickBot="1" x14ac:dyDescent="0.35">
      <c r="A2" s="91" t="s">
        <v>217</v>
      </c>
      <c r="B2" s="20"/>
      <c r="C2" s="20"/>
    </row>
    <row r="3" spans="1:3" ht="15" thickBot="1" x14ac:dyDescent="0.35">
      <c r="A3" s="91"/>
      <c r="B3" s="108" t="s">
        <v>218</v>
      </c>
      <c r="C3" s="109">
        <f>prumer</f>
        <v>0</v>
      </c>
    </row>
    <row r="4" spans="1:3" x14ac:dyDescent="0.3">
      <c r="A4" s="91"/>
      <c r="B4" s="20"/>
      <c r="C4" s="92"/>
    </row>
    <row r="5" spans="1:3" x14ac:dyDescent="0.3">
      <c r="A5" s="91"/>
      <c r="B5" s="20"/>
      <c r="C5" s="92"/>
    </row>
    <row r="6" spans="1:3" x14ac:dyDescent="0.3">
      <c r="A6" s="91" t="s">
        <v>103</v>
      </c>
      <c r="B6" s="20"/>
      <c r="C6" s="93"/>
    </row>
    <row r="7" spans="1:3" x14ac:dyDescent="0.3">
      <c r="A7" s="91"/>
      <c r="B7" s="94" t="s">
        <v>219</v>
      </c>
      <c r="C7" s="95">
        <f>IF(_101=0,IF(_104mod&lt;&gt;"",_104mod,_104)+_105-_106-(_107-_108)+(_109-_110),_101-IF(_102mod&lt;&gt;"",_102mod,_102)+_105-_106-(_107-_108)+(_109-_110))</f>
        <v>0</v>
      </c>
    </row>
    <row r="8" spans="1:3" x14ac:dyDescent="0.3">
      <c r="A8" s="91"/>
      <c r="B8" s="94" t="s">
        <v>220</v>
      </c>
      <c r="C8" s="95">
        <f>SS!B22</f>
        <v>0</v>
      </c>
    </row>
    <row r="9" spans="1:3" x14ac:dyDescent="0.3">
      <c r="A9" s="91"/>
      <c r="B9" s="94" t="s">
        <v>221</v>
      </c>
      <c r="C9" s="95">
        <f>HI!B21</f>
        <v>0</v>
      </c>
    </row>
    <row r="10" spans="1:3" ht="15" thickBot="1" x14ac:dyDescent="0.35">
      <c r="A10" s="91"/>
      <c r="B10" s="94" t="s">
        <v>116</v>
      </c>
      <c r="C10" s="96">
        <f>Dan!C19</f>
        <v>0</v>
      </c>
    </row>
    <row r="11" spans="1:3" ht="15" thickBot="1" x14ac:dyDescent="0.35">
      <c r="A11" s="91"/>
      <c r="B11" s="97" t="s">
        <v>222</v>
      </c>
      <c r="C11" s="98">
        <f>C7-C8-C9-C10</f>
        <v>0</v>
      </c>
    </row>
    <row r="12" spans="1:3" x14ac:dyDescent="0.3">
      <c r="A12" s="91"/>
      <c r="B12" s="99"/>
      <c r="C12" s="100"/>
    </row>
    <row r="13" spans="1:3" x14ac:dyDescent="0.3">
      <c r="A13" s="91"/>
      <c r="B13" s="20"/>
      <c r="C13" s="92"/>
    </row>
    <row r="14" spans="1:3" x14ac:dyDescent="0.3">
      <c r="A14" s="91" t="s">
        <v>223</v>
      </c>
      <c r="B14" s="20"/>
      <c r="C14" s="92"/>
    </row>
    <row r="15" spans="1:3" x14ac:dyDescent="0.3">
      <c r="A15" s="91"/>
      <c r="B15" s="94" t="s">
        <v>224</v>
      </c>
      <c r="C15" s="95">
        <f>_38</f>
        <v>0</v>
      </c>
    </row>
    <row r="16" spans="1:3" ht="15" thickBot="1" x14ac:dyDescent="0.35">
      <c r="A16" s="91"/>
      <c r="B16" s="94" t="s">
        <v>116</v>
      </c>
      <c r="C16" s="96">
        <f>Dan!C36</f>
        <v>0</v>
      </c>
    </row>
    <row r="17" spans="1:3" ht="15" thickBot="1" x14ac:dyDescent="0.35">
      <c r="A17" s="91"/>
      <c r="B17" s="101" t="s">
        <v>225</v>
      </c>
      <c r="C17" s="98">
        <f>C15-C16</f>
        <v>0</v>
      </c>
    </row>
    <row r="18" spans="1:3" x14ac:dyDescent="0.3">
      <c r="A18" s="91"/>
      <c r="B18" s="99"/>
      <c r="C18" s="100"/>
    </row>
    <row r="19" spans="1:3" x14ac:dyDescent="0.3">
      <c r="A19" s="91"/>
      <c r="B19" s="20"/>
      <c r="C19" s="92"/>
    </row>
    <row r="20" spans="1:3" x14ac:dyDescent="0.3">
      <c r="A20" s="91" t="s">
        <v>226</v>
      </c>
      <c r="B20" s="20"/>
      <c r="C20" s="92"/>
    </row>
    <row r="21" spans="1:3" x14ac:dyDescent="0.3">
      <c r="A21" s="91"/>
      <c r="B21" s="94" t="s">
        <v>227</v>
      </c>
      <c r="C21" s="95">
        <f>_39</f>
        <v>0</v>
      </c>
    </row>
    <row r="22" spans="1:3" ht="15" thickBot="1" x14ac:dyDescent="0.35">
      <c r="A22" s="91"/>
      <c r="B22" s="94" t="s">
        <v>116</v>
      </c>
      <c r="C22" s="96">
        <f>Dan!C48</f>
        <v>0</v>
      </c>
    </row>
    <row r="23" spans="1:3" ht="15" thickBot="1" x14ac:dyDescent="0.35">
      <c r="A23" s="91"/>
      <c r="B23" s="101" t="s">
        <v>228</v>
      </c>
      <c r="C23" s="98">
        <f>(C21-C22)/12</f>
        <v>0</v>
      </c>
    </row>
  </sheetData>
  <pageMargins left="0.7" right="0.7" top="0.78740157499999996" bottom="0.78740157499999996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6"/>
  <dimension ref="A1:P108"/>
  <sheetViews>
    <sheetView workbookViewId="0">
      <selection activeCell="N34" sqref="N34"/>
    </sheetView>
  </sheetViews>
  <sheetFormatPr defaultColWidth="0" defaultRowHeight="14.4" zeroHeight="1" x14ac:dyDescent="0.3"/>
  <cols>
    <col min="1" max="1" width="1.44140625" style="20" customWidth="1"/>
    <col min="2" max="2" width="3" style="22" customWidth="1"/>
    <col min="3" max="3" width="2.44140625" style="20" customWidth="1"/>
    <col min="4" max="4" width="4.6640625" style="20" customWidth="1"/>
    <col min="5" max="6" width="2.6640625" style="20" customWidth="1"/>
    <col min="7" max="7" width="2.44140625" style="20" customWidth="1"/>
    <col min="8" max="8" width="24.33203125" style="20" customWidth="1"/>
    <col min="9" max="9" width="2.33203125" style="20" customWidth="1"/>
    <col min="10" max="10" width="14.6640625" style="20" customWidth="1"/>
    <col min="11" max="11" width="5" style="20" customWidth="1"/>
    <col min="12" max="12" width="11.6640625" style="20" customWidth="1"/>
    <col min="13" max="13" width="3.6640625" style="20" customWidth="1"/>
    <col min="14" max="14" width="14" style="20" customWidth="1"/>
    <col min="15" max="15" width="5.44140625" customWidth="1"/>
    <col min="16" max="16384" width="2.44140625" hidden="1"/>
  </cols>
  <sheetData>
    <row r="1" spans="1:14" ht="14.1" customHeight="1" x14ac:dyDescent="0.4">
      <c r="A1" s="18"/>
      <c r="B1" s="18"/>
      <c r="C1" s="18"/>
      <c r="D1" s="18"/>
      <c r="E1" s="18"/>
      <c r="F1" s="18"/>
      <c r="G1" s="18"/>
      <c r="H1"/>
      <c r="I1"/>
      <c r="J1"/>
      <c r="K1"/>
      <c r="L1"/>
      <c r="M1"/>
      <c r="N1"/>
    </row>
    <row r="2" spans="1:14" ht="17.25" customHeight="1" x14ac:dyDescent="0.4">
      <c r="A2" s="18"/>
      <c r="B2" s="18"/>
      <c r="C2" s="18"/>
      <c r="D2" s="18"/>
      <c r="E2" s="18"/>
      <c r="F2" s="18"/>
      <c r="G2" s="18"/>
      <c r="H2"/>
      <c r="I2"/>
      <c r="J2" s="316" t="str">
        <f>vstupni_data!R1</f>
        <v>Kalkulačka k DP za rok 2024 | verze 12</v>
      </c>
      <c r="K2" s="316"/>
      <c r="L2" s="316"/>
      <c r="M2" s="316"/>
      <c r="N2" s="316"/>
    </row>
    <row r="3" spans="1:14" ht="13.5" customHeight="1" x14ac:dyDescent="0.4">
      <c r="A3" s="18"/>
      <c r="B3" s="18"/>
      <c r="C3" s="18"/>
      <c r="D3" s="18"/>
      <c r="E3" s="18"/>
      <c r="F3" s="18"/>
      <c r="G3" s="18"/>
      <c r="H3"/>
      <c r="I3"/>
      <c r="J3"/>
      <c r="K3"/>
      <c r="L3"/>
      <c r="M3"/>
      <c r="N3"/>
    </row>
    <row r="4" spans="1:14" ht="12.75" customHeight="1" thickBot="1" x14ac:dyDescent="0.35">
      <c r="A4" s="17"/>
      <c r="B4" s="19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</row>
    <row r="5" spans="1:14" s="20" customFormat="1" ht="30" customHeight="1" thickBot="1" x14ac:dyDescent="0.3">
      <c r="B5" s="322" t="s">
        <v>229</v>
      </c>
      <c r="C5" s="323"/>
      <c r="D5" s="323"/>
      <c r="E5" s="323"/>
      <c r="F5" s="323"/>
      <c r="G5" s="323"/>
      <c r="H5" s="323"/>
      <c r="I5" s="323"/>
      <c r="J5" s="323"/>
      <c r="K5" s="323"/>
      <c r="L5" s="323"/>
      <c r="M5" s="324"/>
      <c r="N5" s="21">
        <f>IF(prumer="","",prumer)</f>
        <v>0</v>
      </c>
    </row>
    <row r="6" spans="1:14" s="20" customFormat="1" ht="13.2" x14ac:dyDescent="0.25">
      <c r="B6" s="22"/>
      <c r="D6" s="23"/>
      <c r="E6" s="24"/>
      <c r="F6" s="24"/>
      <c r="G6" s="24"/>
      <c r="H6" s="25"/>
      <c r="I6" s="25"/>
      <c r="J6" s="25"/>
      <c r="K6" s="26"/>
      <c r="L6" s="26"/>
      <c r="M6" s="26"/>
      <c r="N6" s="27"/>
    </row>
    <row r="7" spans="1:14" s="28" customFormat="1" ht="15" customHeight="1" thickBot="1" x14ac:dyDescent="0.35">
      <c r="B7" s="29" t="s">
        <v>13</v>
      </c>
      <c r="D7" s="30"/>
      <c r="E7" s="31"/>
      <c r="F7" s="31"/>
      <c r="G7" s="31"/>
      <c r="H7" s="30"/>
      <c r="I7" s="30"/>
      <c r="J7" s="30"/>
      <c r="K7" s="32"/>
      <c r="L7" s="32"/>
      <c r="M7" s="32"/>
      <c r="N7" s="33"/>
    </row>
    <row r="8" spans="1:14" s="20" customFormat="1" ht="15.75" customHeight="1" thickBot="1" x14ac:dyDescent="0.3">
      <c r="B8" s="317">
        <v>31</v>
      </c>
      <c r="C8" s="318"/>
      <c r="D8" s="325" t="s">
        <v>14</v>
      </c>
      <c r="E8" s="326"/>
      <c r="F8" s="326"/>
      <c r="G8" s="326"/>
      <c r="H8" s="326"/>
      <c r="I8" s="326"/>
      <c r="J8" s="326"/>
      <c r="K8" s="326"/>
      <c r="L8" s="326"/>
      <c r="M8" s="327"/>
      <c r="N8" s="34">
        <f>IF(_31="","",_31)</f>
        <v>0</v>
      </c>
    </row>
    <row r="9" spans="1:14" s="20" customFormat="1" ht="12.75" customHeight="1" thickBot="1" x14ac:dyDescent="0.3">
      <c r="B9" s="24"/>
      <c r="C9" s="24"/>
      <c r="D9" s="24"/>
      <c r="E9" s="24"/>
      <c r="F9" s="35"/>
      <c r="G9" s="35"/>
      <c r="H9" s="35"/>
      <c r="I9" s="35"/>
      <c r="J9" s="35"/>
      <c r="K9" s="36"/>
      <c r="L9" s="36"/>
      <c r="M9" s="36"/>
      <c r="N9" s="27"/>
    </row>
    <row r="10" spans="1:14" s="20" customFormat="1" ht="22.5" customHeight="1" x14ac:dyDescent="0.25">
      <c r="B10" s="319">
        <v>37</v>
      </c>
      <c r="C10" s="320"/>
      <c r="D10" s="328" t="s">
        <v>15</v>
      </c>
      <c r="E10" s="329"/>
      <c r="F10" s="329"/>
      <c r="G10" s="329"/>
      <c r="H10" s="329"/>
      <c r="I10" s="329"/>
      <c r="J10" s="329"/>
      <c r="K10" s="329"/>
      <c r="L10" s="329"/>
      <c r="M10" s="330"/>
      <c r="N10" s="37">
        <f>IF(_37="","",_37)</f>
        <v>0</v>
      </c>
    </row>
    <row r="11" spans="1:14" s="20" customFormat="1" ht="13.5" hidden="1" customHeight="1" x14ac:dyDescent="0.25">
      <c r="B11" s="304">
        <v>38</v>
      </c>
      <c r="C11" s="305"/>
      <c r="D11" s="331" t="s">
        <v>16</v>
      </c>
      <c r="E11" s="314"/>
      <c r="F11" s="314"/>
      <c r="G11" s="314"/>
      <c r="H11" s="314"/>
      <c r="I11" s="314"/>
      <c r="J11" s="314"/>
      <c r="K11" s="314"/>
      <c r="L11" s="314"/>
      <c r="M11" s="315"/>
      <c r="N11" s="38">
        <f>IF(_38="","",_38)</f>
        <v>0</v>
      </c>
    </row>
    <row r="12" spans="1:14" s="20" customFormat="1" ht="19.5" customHeight="1" thickBot="1" x14ac:dyDescent="0.3">
      <c r="B12" s="306">
        <v>39</v>
      </c>
      <c r="C12" s="307"/>
      <c r="D12" s="332" t="s">
        <v>17</v>
      </c>
      <c r="E12" s="333"/>
      <c r="F12" s="333"/>
      <c r="G12" s="333"/>
      <c r="H12" s="333"/>
      <c r="I12" s="333"/>
      <c r="J12" s="333"/>
      <c r="K12" s="333"/>
      <c r="L12" s="333"/>
      <c r="M12" s="334"/>
      <c r="N12" s="39">
        <f>IF(_39="","",_39)</f>
        <v>0</v>
      </c>
    </row>
    <row r="13" spans="1:14" s="20" customFormat="1" ht="13.5" hidden="1" customHeight="1" thickBot="1" x14ac:dyDescent="0.3">
      <c r="B13" s="308">
        <v>44</v>
      </c>
      <c r="C13" s="309"/>
      <c r="D13" s="322" t="s">
        <v>18</v>
      </c>
      <c r="E13" s="323"/>
      <c r="F13" s="323"/>
      <c r="G13" s="323"/>
      <c r="H13" s="323"/>
      <c r="I13" s="323"/>
      <c r="J13" s="323"/>
      <c r="K13" s="323"/>
      <c r="L13" s="323"/>
      <c r="M13" s="324"/>
      <c r="N13" s="39">
        <f>IF(_44="","",_44)</f>
        <v>0</v>
      </c>
    </row>
    <row r="14" spans="1:14" s="20" customFormat="1" ht="12" customHeight="1" x14ac:dyDescent="0.25">
      <c r="B14" s="24"/>
      <c r="C14" s="24"/>
      <c r="D14" s="24"/>
      <c r="E14" s="24"/>
      <c r="F14" s="35"/>
      <c r="G14" s="35"/>
      <c r="H14" s="35"/>
      <c r="I14" s="35"/>
      <c r="J14" s="35"/>
      <c r="K14" s="36"/>
      <c r="L14" s="36"/>
      <c r="M14" s="36"/>
      <c r="N14" s="40"/>
    </row>
    <row r="15" spans="1:14" s="28" customFormat="1" ht="15" customHeight="1" thickBot="1" x14ac:dyDescent="0.35">
      <c r="B15" s="41" t="s">
        <v>19</v>
      </c>
      <c r="C15" s="31"/>
      <c r="D15" s="31"/>
      <c r="E15" s="31"/>
      <c r="F15" s="42"/>
      <c r="G15" s="42"/>
      <c r="H15" s="42"/>
      <c r="I15" s="42"/>
      <c r="J15" s="42"/>
      <c r="K15" s="43"/>
      <c r="L15" s="43"/>
      <c r="M15" s="43"/>
      <c r="N15" s="33"/>
    </row>
    <row r="16" spans="1:14" s="20" customFormat="1" ht="17.100000000000001" customHeight="1" x14ac:dyDescent="0.25">
      <c r="B16" s="319">
        <v>101</v>
      </c>
      <c r="C16" s="321"/>
      <c r="D16" s="335" t="s">
        <v>20</v>
      </c>
      <c r="E16" s="336"/>
      <c r="F16" s="336"/>
      <c r="G16" s="336"/>
      <c r="H16" s="336"/>
      <c r="I16" s="336"/>
      <c r="J16" s="336"/>
      <c r="K16" s="336"/>
      <c r="L16" s="336"/>
      <c r="M16" s="337"/>
      <c r="N16" s="44">
        <f>IF(_101="","",_101)</f>
        <v>0</v>
      </c>
    </row>
    <row r="17" spans="2:14" s="20" customFormat="1" ht="18" customHeight="1" x14ac:dyDescent="0.25">
      <c r="B17" s="304">
        <v>102</v>
      </c>
      <c r="C17" s="310"/>
      <c r="D17" s="338" t="s">
        <v>21</v>
      </c>
      <c r="E17" s="339"/>
      <c r="F17" s="339"/>
      <c r="G17" s="339"/>
      <c r="H17" s="339"/>
      <c r="I17" s="339"/>
      <c r="J17" s="339"/>
      <c r="K17" s="340"/>
      <c r="L17" s="311" t="str">
        <f>IF(_102mod="","",_102mod)</f>
        <v/>
      </c>
      <c r="M17" s="312" t="e">
        <f>IF(#REF!="","",#REF!)</f>
        <v>#REF!</v>
      </c>
      <c r="N17" s="45">
        <f>IF(_102="","",_102)</f>
        <v>0</v>
      </c>
    </row>
    <row r="18" spans="2:14" s="20" customFormat="1" ht="26.25" customHeight="1" x14ac:dyDescent="0.25">
      <c r="B18" s="304">
        <v>104</v>
      </c>
      <c r="C18" s="310"/>
      <c r="D18" s="313" t="s">
        <v>22</v>
      </c>
      <c r="E18" s="314"/>
      <c r="F18" s="314"/>
      <c r="G18" s="314"/>
      <c r="H18" s="314"/>
      <c r="I18" s="314"/>
      <c r="J18" s="314"/>
      <c r="K18" s="315"/>
      <c r="L18" s="311" t="str">
        <f>IF(_104mod="","",_104mod)</f>
        <v/>
      </c>
      <c r="M18" s="312" t="e">
        <f>IF(#REF!="","",#REF!)</f>
        <v>#REF!</v>
      </c>
      <c r="N18" s="45">
        <f>IF(_104="","",_104)</f>
        <v>0</v>
      </c>
    </row>
    <row r="19" spans="2:14" s="20" customFormat="1" ht="36" hidden="1" customHeight="1" x14ac:dyDescent="0.25">
      <c r="B19" s="304">
        <v>105</v>
      </c>
      <c r="C19" s="310"/>
      <c r="D19" s="313" t="s">
        <v>23</v>
      </c>
      <c r="E19" s="314"/>
      <c r="F19" s="314"/>
      <c r="G19" s="314"/>
      <c r="H19" s="314"/>
      <c r="I19" s="314"/>
      <c r="J19" s="314"/>
      <c r="K19" s="314"/>
      <c r="L19" s="314"/>
      <c r="M19" s="315"/>
      <c r="N19" s="45">
        <f>IF(_105="","",_105)</f>
        <v>0</v>
      </c>
    </row>
    <row r="20" spans="2:14" s="20" customFormat="1" ht="27.75" customHeight="1" x14ac:dyDescent="0.25">
      <c r="B20" s="304">
        <v>106</v>
      </c>
      <c r="C20" s="310"/>
      <c r="D20" s="313" t="s">
        <v>24</v>
      </c>
      <c r="E20" s="314"/>
      <c r="F20" s="314"/>
      <c r="G20" s="314"/>
      <c r="H20" s="314"/>
      <c r="I20" s="314"/>
      <c r="J20" s="314"/>
      <c r="K20" s="314"/>
      <c r="L20" s="314"/>
      <c r="M20" s="315"/>
      <c r="N20" s="45">
        <f>IF(_106="","",_106)</f>
        <v>0</v>
      </c>
    </row>
    <row r="21" spans="2:14" s="20" customFormat="1" ht="38.25" customHeight="1" x14ac:dyDescent="0.25">
      <c r="B21" s="304">
        <v>107</v>
      </c>
      <c r="C21" s="310"/>
      <c r="D21" s="313" t="s">
        <v>230</v>
      </c>
      <c r="E21" s="314"/>
      <c r="F21" s="314"/>
      <c r="G21" s="314"/>
      <c r="H21" s="314"/>
      <c r="I21" s="314"/>
      <c r="J21" s="314"/>
      <c r="K21" s="314"/>
      <c r="L21" s="314"/>
      <c r="M21" s="315"/>
      <c r="N21" s="45">
        <f>IF(_107="","",_107)</f>
        <v>0</v>
      </c>
    </row>
    <row r="22" spans="2:14" s="20" customFormat="1" ht="39" customHeight="1" x14ac:dyDescent="0.25">
      <c r="B22" s="304">
        <v>108</v>
      </c>
      <c r="C22" s="310"/>
      <c r="D22" s="313" t="s">
        <v>26</v>
      </c>
      <c r="E22" s="314"/>
      <c r="F22" s="314"/>
      <c r="G22" s="314"/>
      <c r="H22" s="314"/>
      <c r="I22" s="314"/>
      <c r="J22" s="314"/>
      <c r="K22" s="314"/>
      <c r="L22" s="314"/>
      <c r="M22" s="315"/>
      <c r="N22" s="45">
        <f>IF(_108="","",_108)</f>
        <v>0</v>
      </c>
    </row>
    <row r="23" spans="2:14" s="20" customFormat="1" ht="28.5" customHeight="1" x14ac:dyDescent="0.25">
      <c r="B23" s="304">
        <v>109</v>
      </c>
      <c r="C23" s="310"/>
      <c r="D23" s="342" t="s">
        <v>27</v>
      </c>
      <c r="E23" s="343"/>
      <c r="F23" s="343"/>
      <c r="G23" s="343"/>
      <c r="H23" s="343"/>
      <c r="I23" s="343"/>
      <c r="J23" s="343"/>
      <c r="K23" s="343"/>
      <c r="L23" s="343"/>
      <c r="M23" s="344"/>
      <c r="N23" s="45">
        <f>IF(_109="","",_109)</f>
        <v>0</v>
      </c>
    </row>
    <row r="24" spans="2:14" s="20" customFormat="1" ht="32.25" customHeight="1" thickBot="1" x14ac:dyDescent="0.3">
      <c r="B24" s="306">
        <v>110</v>
      </c>
      <c r="C24" s="341"/>
      <c r="D24" s="345" t="s">
        <v>28</v>
      </c>
      <c r="E24" s="346"/>
      <c r="F24" s="346"/>
      <c r="G24" s="346"/>
      <c r="H24" s="346"/>
      <c r="I24" s="346"/>
      <c r="J24" s="346"/>
      <c r="K24" s="346"/>
      <c r="L24" s="346"/>
      <c r="M24" s="347"/>
      <c r="N24" s="46">
        <f>IF(_110="","",_110)</f>
        <v>0</v>
      </c>
    </row>
    <row r="25" spans="2:14" s="20" customFormat="1" ht="12.75" customHeight="1" x14ac:dyDescent="0.25">
      <c r="B25" s="47"/>
      <c r="C25" s="47"/>
      <c r="D25" s="47"/>
      <c r="E25" s="47"/>
      <c r="F25" s="35"/>
      <c r="G25" s="35"/>
      <c r="H25" s="35"/>
      <c r="I25" s="35"/>
      <c r="J25" s="35"/>
      <c r="K25" s="48"/>
      <c r="L25" s="48"/>
      <c r="M25" s="48"/>
      <c r="N25" s="48"/>
    </row>
    <row r="26" spans="2:14" s="28" customFormat="1" ht="15" customHeight="1" thickBot="1" x14ac:dyDescent="0.35">
      <c r="B26" s="41" t="s">
        <v>29</v>
      </c>
      <c r="C26" s="42"/>
      <c r="D26" s="42"/>
      <c r="E26" s="42"/>
      <c r="F26" s="42"/>
      <c r="G26" s="42"/>
      <c r="H26" s="42"/>
      <c r="I26" s="42"/>
      <c r="J26" s="42"/>
      <c r="K26" s="31"/>
      <c r="L26" s="31"/>
      <c r="M26" s="31"/>
      <c r="N26" s="31"/>
    </row>
    <row r="27" spans="2:14" s="20" customFormat="1" ht="16.2" customHeight="1" x14ac:dyDescent="0.25">
      <c r="B27" s="319">
        <v>46</v>
      </c>
      <c r="C27" s="321"/>
      <c r="D27" s="335" t="s">
        <v>231</v>
      </c>
      <c r="E27" s="336"/>
      <c r="F27" s="336"/>
      <c r="G27" s="336"/>
      <c r="H27" s="336"/>
      <c r="I27" s="336"/>
      <c r="J27" s="336"/>
      <c r="K27" s="336"/>
      <c r="L27" s="336"/>
      <c r="M27" s="337"/>
      <c r="N27" s="37">
        <f>IF(_46="","",_46)</f>
        <v>0</v>
      </c>
    </row>
    <row r="28" spans="2:14" s="20" customFormat="1" ht="17.100000000000001" customHeight="1" x14ac:dyDescent="0.25">
      <c r="B28" s="304">
        <v>47</v>
      </c>
      <c r="C28" s="310"/>
      <c r="D28" s="313" t="s">
        <v>232</v>
      </c>
      <c r="E28" s="314"/>
      <c r="F28" s="314"/>
      <c r="G28" s="314"/>
      <c r="H28" s="314"/>
      <c r="I28" s="314"/>
      <c r="J28" s="314"/>
      <c r="K28" s="314"/>
      <c r="L28" s="314"/>
      <c r="M28" s="315"/>
      <c r="N28" s="49">
        <f>IF(_47="","",_47)</f>
        <v>0</v>
      </c>
    </row>
    <row r="29" spans="2:14" s="20" customFormat="1" ht="24" customHeight="1" x14ac:dyDescent="0.25">
      <c r="B29" s="304">
        <v>48</v>
      </c>
      <c r="C29" s="310"/>
      <c r="D29" s="313" t="s">
        <v>233</v>
      </c>
      <c r="E29" s="314"/>
      <c r="F29" s="314"/>
      <c r="G29" s="314"/>
      <c r="H29" s="314"/>
      <c r="I29" s="314"/>
      <c r="J29" s="314"/>
      <c r="K29" s="314"/>
      <c r="L29" s="314"/>
      <c r="M29" s="315"/>
      <c r="N29" s="49">
        <f>IF(_48="","",_48)</f>
        <v>0</v>
      </c>
    </row>
    <row r="30" spans="2:14" s="20" customFormat="1" ht="17.100000000000001" customHeight="1" x14ac:dyDescent="0.25">
      <c r="B30" s="304">
        <v>49</v>
      </c>
      <c r="C30" s="310"/>
      <c r="D30" s="338" t="s">
        <v>234</v>
      </c>
      <c r="E30" s="339"/>
      <c r="F30" s="339"/>
      <c r="G30" s="339"/>
      <c r="H30" s="339"/>
      <c r="I30" s="339"/>
      <c r="J30" s="339"/>
      <c r="K30" s="339"/>
      <c r="L30" s="339"/>
      <c r="M30" s="340"/>
      <c r="N30" s="49">
        <f>IF(_49="","",_49)</f>
        <v>0</v>
      </c>
    </row>
    <row r="31" spans="2:14" s="20" customFormat="1" ht="17.7" customHeight="1" x14ac:dyDescent="0.25">
      <c r="B31" s="304">
        <v>50</v>
      </c>
      <c r="C31" s="310"/>
      <c r="D31" s="338" t="s">
        <v>235</v>
      </c>
      <c r="E31" s="339"/>
      <c r="F31" s="339"/>
      <c r="G31" s="339"/>
      <c r="H31" s="339"/>
      <c r="I31" s="339"/>
      <c r="J31" s="339"/>
      <c r="K31" s="339"/>
      <c r="L31" s="339"/>
      <c r="M31" s="340"/>
      <c r="N31" s="49">
        <f>IF(_50="","",_50)</f>
        <v>0</v>
      </c>
    </row>
    <row r="32" spans="2:14" s="20" customFormat="1" ht="16.2" customHeight="1" x14ac:dyDescent="0.25">
      <c r="B32" s="304">
        <v>51</v>
      </c>
      <c r="C32" s="310"/>
      <c r="D32" s="338" t="s">
        <v>236</v>
      </c>
      <c r="E32" s="339"/>
      <c r="F32" s="339"/>
      <c r="G32" s="339"/>
      <c r="H32" s="339"/>
      <c r="I32" s="339"/>
      <c r="J32" s="339"/>
      <c r="K32" s="339"/>
      <c r="L32" s="339"/>
      <c r="M32" s="340"/>
      <c r="N32" s="49">
        <f>IF(_51="","",_51)</f>
        <v>0</v>
      </c>
    </row>
    <row r="33" spans="2:14" s="20" customFormat="1" ht="16.2" customHeight="1" x14ac:dyDescent="0.25">
      <c r="B33" s="304">
        <v>52</v>
      </c>
      <c r="C33" s="310"/>
      <c r="D33" s="338" t="s">
        <v>237</v>
      </c>
      <c r="E33" s="339"/>
      <c r="F33" s="339"/>
      <c r="G33" s="339"/>
      <c r="H33" s="339"/>
      <c r="I33" s="339"/>
      <c r="J33" s="339"/>
      <c r="K33" s="339"/>
      <c r="L33" s="339"/>
      <c r="M33" s="340"/>
      <c r="N33" s="49">
        <f>IF(_52="","",_52)</f>
        <v>0</v>
      </c>
    </row>
    <row r="34" spans="2:14" s="20" customFormat="1" ht="16.2" customHeight="1" x14ac:dyDescent="0.25">
      <c r="B34" s="304" t="s">
        <v>238</v>
      </c>
      <c r="C34" s="310" t="s">
        <v>238</v>
      </c>
      <c r="D34" s="338" t="s">
        <v>239</v>
      </c>
      <c r="E34" s="339"/>
      <c r="F34" s="339"/>
      <c r="G34" s="339"/>
      <c r="H34" s="339"/>
      <c r="I34" s="339"/>
      <c r="J34" s="339"/>
      <c r="K34" s="339"/>
      <c r="L34" s="339"/>
      <c r="M34" s="340"/>
      <c r="N34" s="49" t="e">
        <f>IF(_52a="","",_52a)</f>
        <v>#REF!</v>
      </c>
    </row>
    <row r="35" spans="2:14" s="20" customFormat="1" ht="15.6" customHeight="1" thickBot="1" x14ac:dyDescent="0.3">
      <c r="B35" s="306">
        <v>53</v>
      </c>
      <c r="C35" s="341"/>
      <c r="D35" s="348" t="s">
        <v>240</v>
      </c>
      <c r="E35" s="349"/>
      <c r="F35" s="349"/>
      <c r="G35" s="349"/>
      <c r="H35" s="349"/>
      <c r="I35" s="349"/>
      <c r="J35" s="349"/>
      <c r="K35" s="349"/>
      <c r="L35" s="349"/>
      <c r="M35" s="350"/>
      <c r="N35" s="50">
        <f>IF(_53="","",_53)</f>
        <v>0</v>
      </c>
    </row>
    <row r="36" spans="2:14" s="20" customFormat="1" ht="13.5" customHeight="1" x14ac:dyDescent="0.25">
      <c r="B36" s="47"/>
      <c r="C36" s="47"/>
      <c r="D36" s="47"/>
      <c r="E36" s="47"/>
      <c r="F36" s="35"/>
      <c r="G36" s="35"/>
      <c r="H36" s="35"/>
      <c r="I36" s="35"/>
      <c r="J36" s="35"/>
      <c r="K36" s="48"/>
      <c r="L36" s="48"/>
      <c r="M36" s="48"/>
      <c r="N36" s="48"/>
    </row>
    <row r="37" spans="2:14" s="28" customFormat="1" ht="15" customHeight="1" thickBot="1" x14ac:dyDescent="0.35">
      <c r="B37" s="41" t="s">
        <v>38</v>
      </c>
      <c r="C37" s="42"/>
      <c r="D37" s="42"/>
      <c r="E37" s="42"/>
      <c r="F37" s="42"/>
      <c r="G37" s="42"/>
      <c r="H37" s="42"/>
      <c r="I37" s="42"/>
      <c r="J37" s="42"/>
      <c r="K37" s="31"/>
      <c r="L37" s="31"/>
      <c r="M37" s="31"/>
      <c r="N37" s="31"/>
    </row>
    <row r="38" spans="2:14" s="20" customFormat="1" ht="19.350000000000001" customHeight="1" x14ac:dyDescent="0.25">
      <c r="B38" s="319">
        <v>64</v>
      </c>
      <c r="C38" s="321"/>
      <c r="D38" s="335" t="s">
        <v>39</v>
      </c>
      <c r="E38" s="336"/>
      <c r="F38" s="336"/>
      <c r="G38" s="336"/>
      <c r="H38" s="336"/>
      <c r="I38" s="336"/>
      <c r="J38" s="336"/>
      <c r="K38" s="336"/>
      <c r="L38" s="336"/>
      <c r="M38" s="337"/>
      <c r="N38" s="44">
        <f>IF(_64="","",_64)</f>
        <v>0</v>
      </c>
    </row>
    <row r="39" spans="2:14" s="20" customFormat="1" ht="19.350000000000001" customHeight="1" x14ac:dyDescent="0.25">
      <c r="B39" s="304" t="s">
        <v>40</v>
      </c>
      <c r="C39" s="310"/>
      <c r="D39" s="313" t="s">
        <v>41</v>
      </c>
      <c r="E39" s="314"/>
      <c r="F39" s="314"/>
      <c r="G39" s="314"/>
      <c r="H39" s="314"/>
      <c r="I39" s="314"/>
      <c r="J39" s="314"/>
      <c r="K39" s="314"/>
      <c r="L39" s="314"/>
      <c r="M39" s="315"/>
      <c r="N39" s="45">
        <f>IF(_65a="","",_65a)</f>
        <v>0</v>
      </c>
    </row>
    <row r="40" spans="2:14" s="20" customFormat="1" ht="19.350000000000001" customHeight="1" x14ac:dyDescent="0.25">
      <c r="B40" s="304" t="s">
        <v>42</v>
      </c>
      <c r="C40" s="310"/>
      <c r="D40" s="313" t="s">
        <v>43</v>
      </c>
      <c r="E40" s="314"/>
      <c r="F40" s="314"/>
      <c r="G40" s="314"/>
      <c r="H40" s="314"/>
      <c r="I40" s="314"/>
      <c r="J40" s="314"/>
      <c r="K40" s="314"/>
      <c r="L40" s="314"/>
      <c r="M40" s="315"/>
      <c r="N40" s="45">
        <f>IF(_65b="","",_65b)</f>
        <v>0</v>
      </c>
    </row>
    <row r="41" spans="2:14" s="20" customFormat="1" ht="24.75" customHeight="1" x14ac:dyDescent="0.25">
      <c r="B41" s="304">
        <v>66</v>
      </c>
      <c r="C41" s="310"/>
      <c r="D41" s="313" t="s">
        <v>44</v>
      </c>
      <c r="E41" s="314"/>
      <c r="F41" s="314"/>
      <c r="G41" s="314"/>
      <c r="H41" s="314"/>
      <c r="I41" s="314"/>
      <c r="J41" s="314"/>
      <c r="K41" s="314"/>
      <c r="L41" s="314"/>
      <c r="M41" s="315"/>
      <c r="N41" s="45">
        <f>IF(_66="","",_66)</f>
        <v>0</v>
      </c>
    </row>
    <row r="42" spans="2:14" s="20" customFormat="1" ht="24.75" customHeight="1" x14ac:dyDescent="0.25">
      <c r="B42" s="304">
        <v>67</v>
      </c>
      <c r="C42" s="310"/>
      <c r="D42" s="313" t="s">
        <v>45</v>
      </c>
      <c r="E42" s="314"/>
      <c r="F42" s="314"/>
      <c r="G42" s="314"/>
      <c r="H42" s="314"/>
      <c r="I42" s="314"/>
      <c r="J42" s="314"/>
      <c r="K42" s="314"/>
      <c r="L42" s="314"/>
      <c r="M42" s="315"/>
      <c r="N42" s="45">
        <f>IF(_67="","",_67)</f>
        <v>0</v>
      </c>
    </row>
    <row r="43" spans="2:14" s="20" customFormat="1" ht="19.350000000000001" customHeight="1" x14ac:dyDescent="0.25">
      <c r="B43" s="304">
        <v>68</v>
      </c>
      <c r="C43" s="310"/>
      <c r="D43" s="313" t="s">
        <v>46</v>
      </c>
      <c r="E43" s="314"/>
      <c r="F43" s="314"/>
      <c r="G43" s="314"/>
      <c r="H43" s="314"/>
      <c r="I43" s="314"/>
      <c r="J43" s="314"/>
      <c r="K43" s="314"/>
      <c r="L43" s="314"/>
      <c r="M43" s="315"/>
      <c r="N43" s="45">
        <f>IF(_68="","",_68)</f>
        <v>0</v>
      </c>
    </row>
    <row r="44" spans="2:14" s="20" customFormat="1" ht="19.350000000000001" customHeight="1" x14ac:dyDescent="0.25">
      <c r="B44" s="304">
        <v>69</v>
      </c>
      <c r="C44" s="310"/>
      <c r="D44" s="313" t="s">
        <v>47</v>
      </c>
      <c r="E44" s="314"/>
      <c r="F44" s="314"/>
      <c r="G44" s="314"/>
      <c r="H44" s="314"/>
      <c r="I44" s="314"/>
      <c r="J44" s="314"/>
      <c r="K44" s="314"/>
      <c r="L44" s="314"/>
      <c r="M44" s="315"/>
      <c r="N44" s="45">
        <f>IF(_69="","",_69)</f>
        <v>0</v>
      </c>
    </row>
    <row r="45" spans="2:14" s="20" customFormat="1" ht="19.350000000000001" customHeight="1" x14ac:dyDescent="0.25">
      <c r="B45" s="304" t="s">
        <v>48</v>
      </c>
      <c r="C45" s="310"/>
      <c r="D45" s="313" t="s">
        <v>49</v>
      </c>
      <c r="E45" s="314"/>
      <c r="F45" s="314"/>
      <c r="G45" s="314"/>
      <c r="H45" s="314"/>
      <c r="I45" s="314"/>
      <c r="J45" s="314"/>
      <c r="K45" s="314"/>
      <c r="L45" s="314"/>
      <c r="M45" s="315"/>
      <c r="N45" s="45">
        <f>IF(_69a="","",_69a)</f>
        <v>0</v>
      </c>
    </row>
    <row r="46" spans="2:14" s="20" customFormat="1" ht="19.350000000000001" customHeight="1" x14ac:dyDescent="0.25">
      <c r="B46" s="304" t="s">
        <v>50</v>
      </c>
      <c r="C46" s="310"/>
      <c r="D46" s="313" t="s">
        <v>51</v>
      </c>
      <c r="E46" s="314"/>
      <c r="F46" s="314"/>
      <c r="G46" s="314"/>
      <c r="H46" s="314"/>
      <c r="I46" s="314"/>
      <c r="J46" s="314"/>
      <c r="K46" s="314"/>
      <c r="L46" s="314"/>
      <c r="M46" s="315"/>
      <c r="N46" s="45">
        <f>IF(_69b="","",_69b)</f>
        <v>0</v>
      </c>
    </row>
    <row r="47" spans="2:14" s="20" customFormat="1" ht="19.350000000000001" customHeight="1" thickBot="1" x14ac:dyDescent="0.3">
      <c r="B47" s="306">
        <v>72</v>
      </c>
      <c r="C47" s="341"/>
      <c r="D47" s="348" t="s">
        <v>52</v>
      </c>
      <c r="E47" s="349"/>
      <c r="F47" s="349"/>
      <c r="G47" s="349"/>
      <c r="H47" s="349"/>
      <c r="I47" s="349"/>
      <c r="J47" s="349"/>
      <c r="K47" s="349"/>
      <c r="L47" s="349"/>
      <c r="M47" s="350"/>
      <c r="N47" s="46">
        <f>IF(_72="","",_72)</f>
        <v>0</v>
      </c>
    </row>
    <row r="48" spans="2:14" s="20" customFormat="1" ht="19.350000000000001" customHeight="1" x14ac:dyDescent="0.25">
      <c r="B48" s="24"/>
      <c r="C48" s="24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27"/>
    </row>
    <row r="49" spans="1:16" s="16" customFormat="1" ht="15" customHeight="1" x14ac:dyDescent="0.4">
      <c r="A49" s="18"/>
      <c r="B49" s="18"/>
      <c r="C49" s="18"/>
      <c r="D49" s="18"/>
      <c r="E49" s="18"/>
      <c r="F49" s="18"/>
      <c r="G49" s="18"/>
      <c r="H49"/>
      <c r="I49"/>
      <c r="J49" s="316" t="str">
        <f>vstupni_data!R1</f>
        <v>Kalkulačka k DP za rok 2024 | verze 12</v>
      </c>
      <c r="K49" s="316"/>
      <c r="L49" s="316"/>
      <c r="M49" s="316"/>
      <c r="N49" s="316"/>
    </row>
    <row r="50" spans="1:16" ht="18" customHeight="1" x14ac:dyDescent="0.4">
      <c r="A50" s="18"/>
      <c r="B50" s="18"/>
      <c r="C50" s="18"/>
      <c r="D50" s="18"/>
      <c r="E50" s="18"/>
      <c r="F50" s="18"/>
      <c r="G50" s="18"/>
      <c r="H50"/>
      <c r="I50"/>
    </row>
    <row r="51" spans="1:16" ht="12.75" customHeight="1" x14ac:dyDescent="0.4">
      <c r="A51" s="18"/>
      <c r="B51" s="18"/>
      <c r="C51" s="18"/>
      <c r="D51" s="18"/>
      <c r="E51" s="18"/>
      <c r="F51" s="18"/>
      <c r="G51" s="18"/>
      <c r="H51"/>
      <c r="I51"/>
      <c r="J51"/>
      <c r="K51"/>
      <c r="L51"/>
      <c r="M51"/>
      <c r="N51"/>
    </row>
    <row r="52" spans="1:16" ht="15" customHeight="1" x14ac:dyDescent="0.3">
      <c r="A52" s="28"/>
      <c r="B52" s="51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</row>
    <row r="53" spans="1:16" x14ac:dyDescent="0.3">
      <c r="A53" s="17"/>
      <c r="B53" s="83" t="s">
        <v>0</v>
      </c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</row>
    <row r="54" spans="1:16" s="28" customFormat="1" ht="13.2" x14ac:dyDescent="0.3">
      <c r="A54" s="17"/>
      <c r="B54" s="299" t="str">
        <f>IF(vstupni_data!B3="","",vstupni_data!B3)</f>
        <v/>
      </c>
      <c r="C54" s="300"/>
      <c r="D54" s="300"/>
      <c r="E54" s="300"/>
      <c r="F54" s="300"/>
      <c r="G54" s="300"/>
      <c r="H54" s="301"/>
      <c r="I54" s="17"/>
      <c r="J54" s="17"/>
      <c r="K54" s="17"/>
      <c r="L54" s="17"/>
      <c r="M54" s="17"/>
      <c r="N54" s="17"/>
    </row>
    <row r="55" spans="1:16" s="20" customFormat="1" ht="13.2" x14ac:dyDescent="0.25">
      <c r="A55" s="17"/>
      <c r="B55" s="83" t="s">
        <v>241</v>
      </c>
      <c r="C55" s="17"/>
      <c r="D55" s="17"/>
      <c r="E55" s="17"/>
      <c r="F55" s="17"/>
      <c r="G55" s="17"/>
      <c r="H55" s="17"/>
      <c r="I55" s="17"/>
      <c r="J55" s="83" t="s">
        <v>2</v>
      </c>
      <c r="K55" s="83"/>
      <c r="L55" s="83"/>
      <c r="M55" s="83"/>
      <c r="N55" s="83"/>
    </row>
    <row r="56" spans="1:16" s="28" customFormat="1" ht="13.2" x14ac:dyDescent="0.3">
      <c r="A56" s="17"/>
      <c r="B56" s="299" t="str">
        <f>IF(vstupni_data!B6="","",vstupni_data!B6)</f>
        <v/>
      </c>
      <c r="C56" s="300"/>
      <c r="D56" s="300"/>
      <c r="E56" s="300"/>
      <c r="F56" s="300"/>
      <c r="G56" s="300"/>
      <c r="H56" s="301"/>
      <c r="I56" s="17"/>
      <c r="J56" s="299" t="str">
        <f>IF(vstupni_data!L6="","",vstupni_data!L6)</f>
        <v/>
      </c>
      <c r="K56" s="300"/>
      <c r="L56" s="300"/>
      <c r="M56" s="300"/>
      <c r="N56" s="301"/>
      <c r="O56" s="83"/>
      <c r="P56" s="135"/>
    </row>
    <row r="57" spans="1:16" s="20" customFormat="1" ht="13.2" x14ac:dyDescent="0.25">
      <c r="A57" s="28"/>
      <c r="B57" s="52"/>
      <c r="C57" s="53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</row>
    <row r="58" spans="1:16" s="20" customFormat="1" ht="20.25" customHeight="1" x14ac:dyDescent="0.25">
      <c r="A58" s="17"/>
      <c r="B58" s="64" t="s">
        <v>77</v>
      </c>
      <c r="C58" s="55"/>
      <c r="D58" s="17"/>
      <c r="E58" s="17"/>
      <c r="F58" s="66"/>
      <c r="G58" s="55"/>
      <c r="H58" s="17"/>
      <c r="I58" s="17"/>
      <c r="J58" s="17"/>
      <c r="K58" s="17"/>
      <c r="L58" s="17"/>
      <c r="M58" s="17"/>
      <c r="N58" s="17"/>
    </row>
    <row r="59" spans="1:16" s="16" customFormat="1" x14ac:dyDescent="0.3">
      <c r="A59" s="17"/>
      <c r="B59" s="69" t="e">
        <f>IF(vstupni_data!#REF!="","","x")</f>
        <v>#REF!</v>
      </c>
      <c r="C59" s="17"/>
      <c r="D59" s="17" t="s">
        <v>78</v>
      </c>
      <c r="E59" s="17"/>
      <c r="F59" s="69" t="e">
        <f>IF(vstupni_data!#REF!="","x","")</f>
        <v>#REF!</v>
      </c>
      <c r="G59" s="17"/>
      <c r="H59" s="17" t="s">
        <v>79</v>
      </c>
      <c r="I59" s="17"/>
      <c r="J59" s="17"/>
      <c r="K59" s="17"/>
      <c r="L59" s="17"/>
      <c r="M59" s="17"/>
      <c r="N59" s="17"/>
    </row>
    <row r="60" spans="1:16" ht="11.25" customHeight="1" x14ac:dyDescent="0.3">
      <c r="A60" s="28"/>
      <c r="B60" s="52"/>
      <c r="C60" s="53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</row>
    <row r="61" spans="1:16" s="20" customFormat="1" x14ac:dyDescent="0.25">
      <c r="A61" s="17"/>
      <c r="B61" s="64" t="s">
        <v>80</v>
      </c>
      <c r="C61" s="55"/>
      <c r="D61" s="17"/>
      <c r="E61" s="17"/>
      <c r="F61" s="66"/>
      <c r="G61" s="55"/>
      <c r="H61" s="17"/>
      <c r="I61" s="17"/>
      <c r="J61" s="17"/>
      <c r="K61" s="17"/>
      <c r="L61" s="17"/>
      <c r="M61" s="17"/>
      <c r="N61" s="17"/>
    </row>
    <row r="62" spans="1:16" x14ac:dyDescent="0.3">
      <c r="A62" s="17"/>
      <c r="B62" s="69" t="e">
        <f>IF(vstupni_data!#REF!="","","x")</f>
        <v>#REF!</v>
      </c>
      <c r="C62" s="17"/>
      <c r="D62" s="17" t="s">
        <v>78</v>
      </c>
      <c r="E62" s="17"/>
      <c r="F62" s="65" t="e">
        <f>IF(vstupni_data!#REF!="","x","")</f>
        <v>#REF!</v>
      </c>
      <c r="G62" s="17"/>
      <c r="H62" s="17" t="s">
        <v>79</v>
      </c>
      <c r="I62" s="17"/>
      <c r="J62" s="17"/>
      <c r="K62" s="17"/>
      <c r="L62" s="17"/>
      <c r="M62" s="17"/>
      <c r="N62" s="17"/>
    </row>
    <row r="63" spans="1:16" s="20" customFormat="1" ht="11.25" customHeight="1" x14ac:dyDescent="0.25">
      <c r="A63" s="16"/>
      <c r="B63" s="52"/>
      <c r="C63" s="53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</row>
    <row r="64" spans="1:16" x14ac:dyDescent="0.3">
      <c r="A64" s="55"/>
      <c r="B64" s="64" t="s">
        <v>242</v>
      </c>
      <c r="C64" s="55"/>
      <c r="D64" s="56"/>
      <c r="E64" s="56"/>
      <c r="F64" s="56"/>
      <c r="G64" s="56"/>
      <c r="H64" s="55"/>
      <c r="I64" s="55"/>
      <c r="J64" s="55"/>
      <c r="K64" s="55"/>
      <c r="L64" s="55"/>
      <c r="M64" s="55"/>
      <c r="N64" s="55"/>
    </row>
    <row r="65" spans="1:14" s="20" customFormat="1" x14ac:dyDescent="0.25">
      <c r="A65" s="17"/>
      <c r="B65" s="68" t="str">
        <f>IF(AND(OR(_37&lt;&gt;0,_101&gt;0,_102&gt;0,_104&gt;0),vstupni_data!B64="x"),vstupni_data!B64,"")</f>
        <v/>
      </c>
      <c r="C65" s="55"/>
      <c r="D65" s="17" t="s">
        <v>243</v>
      </c>
      <c r="E65" s="17"/>
      <c r="F65" s="17"/>
      <c r="G65" s="17"/>
      <c r="H65" s="55"/>
      <c r="I65" s="55"/>
      <c r="J65" s="55"/>
      <c r="K65" s="17"/>
      <c r="L65" s="17"/>
      <c r="M65" s="17"/>
      <c r="N65" s="17"/>
    </row>
    <row r="66" spans="1:14" ht="12.75" customHeight="1" x14ac:dyDescent="0.3">
      <c r="A66" s="55"/>
      <c r="B66" s="67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</row>
    <row r="67" spans="1:14" s="20" customFormat="1" x14ac:dyDescent="0.25">
      <c r="A67" s="17"/>
      <c r="B67" s="68" t="str">
        <f>IF(AND(OR(_37&lt;&gt;0,_101&gt;0,_102&gt;0,_104&gt;0),vstupni_data!B69="x"),vstupni_data!B69,"")</f>
        <v/>
      </c>
      <c r="C67" s="55"/>
      <c r="D67" s="17" t="s">
        <v>244</v>
      </c>
      <c r="E67" s="17"/>
      <c r="F67" s="17"/>
      <c r="G67" s="17"/>
      <c r="H67" s="55"/>
      <c r="I67" s="55"/>
      <c r="J67" s="55"/>
      <c r="K67" s="17"/>
      <c r="L67" s="17"/>
      <c r="M67" s="17"/>
      <c r="N67" s="17"/>
    </row>
    <row r="68" spans="1:14" ht="12" customHeight="1" x14ac:dyDescent="0.3">
      <c r="A68" s="55"/>
      <c r="B68" s="67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</row>
    <row r="69" spans="1:14" s="20" customFormat="1" x14ac:dyDescent="0.25">
      <c r="A69" s="17"/>
      <c r="B69" s="68" t="str">
        <f>IF(AND(OR(_37&lt;&gt;0,_101&gt;0,_102&gt;0,_104&gt;0),vstupni_data!B71="x"),vstupni_data!B71,"")</f>
        <v/>
      </c>
      <c r="C69" s="55"/>
      <c r="D69" s="17" t="s">
        <v>57</v>
      </c>
      <c r="E69" s="17"/>
      <c r="F69" s="17"/>
      <c r="G69" s="17"/>
      <c r="H69" s="55"/>
      <c r="I69" s="55"/>
      <c r="J69" s="55"/>
      <c r="K69" s="17"/>
      <c r="L69" s="17"/>
      <c r="M69" s="17"/>
      <c r="N69" s="17"/>
    </row>
    <row r="70" spans="1:14" ht="13.5" customHeight="1" x14ac:dyDescent="0.3">
      <c r="A70" s="55"/>
      <c r="B70" s="67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</row>
    <row r="71" spans="1:14" s="20" customFormat="1" x14ac:dyDescent="0.25">
      <c r="A71" s="17"/>
      <c r="B71" s="54" t="str">
        <f>IF(AND(OR(_37&lt;&gt;0,_101&gt;0,_102&gt;0,_104&gt;0),vstupni_data!B73="x"),vstupni_data!B73,"")</f>
        <v/>
      </c>
      <c r="C71" s="55"/>
      <c r="D71" s="17" t="s">
        <v>58</v>
      </c>
      <c r="E71" s="17"/>
      <c r="F71" s="17"/>
      <c r="G71" s="17"/>
      <c r="H71" s="55"/>
      <c r="I71" s="55"/>
      <c r="J71" s="55"/>
      <c r="K71" s="17"/>
      <c r="L71" s="17"/>
      <c r="M71" s="17"/>
      <c r="N71" s="17"/>
    </row>
    <row r="72" spans="1:14" ht="12.75" customHeight="1" x14ac:dyDescent="0.3">
      <c r="A72" s="55"/>
      <c r="B72" s="67"/>
      <c r="C72" s="55"/>
      <c r="D72" s="56"/>
      <c r="E72" s="55"/>
      <c r="F72" s="55"/>
      <c r="G72" s="55"/>
      <c r="H72" s="55"/>
      <c r="I72" s="55"/>
      <c r="J72" s="55"/>
      <c r="K72" s="55"/>
      <c r="L72" s="55"/>
      <c r="M72" s="55"/>
      <c r="N72" s="55"/>
    </row>
    <row r="73" spans="1:14" s="20" customFormat="1" x14ac:dyDescent="0.25">
      <c r="A73" s="17"/>
      <c r="B73" s="68" t="str">
        <f>IF(AND(OR(_37&lt;&gt;0,_101&gt;0,_102&gt;0,_104&gt;0),vstupni_data!B75="x"),vstupni_data!B75,"")</f>
        <v/>
      </c>
      <c r="C73" s="55"/>
      <c r="D73" s="17" t="s">
        <v>245</v>
      </c>
      <c r="E73" s="17"/>
      <c r="F73" s="17"/>
      <c r="G73" s="17"/>
      <c r="H73" s="55"/>
      <c r="I73" s="55"/>
      <c r="J73" s="55"/>
      <c r="K73" s="17"/>
      <c r="L73" s="17"/>
      <c r="M73" s="17"/>
      <c r="N73" s="17"/>
    </row>
    <row r="74" spans="1:14" s="16" customFormat="1" ht="0.75" hidden="1" customHeight="1" x14ac:dyDescent="0.3">
      <c r="A74" s="55"/>
      <c r="B74" s="67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</row>
    <row r="75" spans="1:14" hidden="1" x14ac:dyDescent="0.3">
      <c r="A75" s="17"/>
      <c r="B75" s="68" t="str">
        <f>IF(vstupni_data!B77="","",vstupni_data!B77)</f>
        <v/>
      </c>
      <c r="C75" s="55"/>
      <c r="D75" s="17" t="s">
        <v>246</v>
      </c>
      <c r="E75" s="17"/>
      <c r="F75" s="17"/>
      <c r="G75" s="17"/>
      <c r="H75" s="55"/>
      <c r="I75" s="55"/>
      <c r="J75" s="55"/>
      <c r="K75" s="17"/>
      <c r="L75" s="17"/>
      <c r="M75" s="17"/>
      <c r="N75" s="17"/>
    </row>
    <row r="76" spans="1:14" s="20" customFormat="1" ht="11.25" customHeight="1" x14ac:dyDescent="0.25">
      <c r="A76" s="55"/>
      <c r="B76" s="67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</row>
    <row r="77" spans="1:14" x14ac:dyDescent="0.3">
      <c r="A77" s="17"/>
      <c r="B77" s="69" t="str">
        <f>IF(AND(OR(_37&lt;&gt;0,_101&gt;0,_102&gt;0,_104&gt;0),vstupni_data!B79="x"),vstupni_data!B79,"")</f>
        <v/>
      </c>
      <c r="C77" s="17"/>
      <c r="D77" s="17" t="s">
        <v>247</v>
      </c>
      <c r="E77" s="17"/>
      <c r="F77" s="17"/>
      <c r="G77" s="17"/>
      <c r="H77" s="17"/>
      <c r="I77" s="17"/>
      <c r="J77" s="17"/>
      <c r="K77" s="17"/>
      <c r="L77" s="17"/>
      <c r="M77" s="17"/>
      <c r="N77" s="17"/>
    </row>
    <row r="78" spans="1:14" s="20" customFormat="1" ht="12" customHeight="1" x14ac:dyDescent="0.25">
      <c r="A78" s="16"/>
      <c r="B78" s="52"/>
      <c r="C78" s="53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</row>
    <row r="79" spans="1:14" x14ac:dyDescent="0.3">
      <c r="A79" s="55"/>
      <c r="B79" s="64" t="s">
        <v>242</v>
      </c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</row>
    <row r="80" spans="1:14" s="20" customFormat="1" x14ac:dyDescent="0.25">
      <c r="A80" s="17"/>
      <c r="B80" s="68" t="str">
        <f>IF(AND(OR(_37&lt;&gt;0,_101&gt;0,_102&gt;0,_104&gt;0),vstupni_data!B82="x"),vstupni_data!B82,"")</f>
        <v/>
      </c>
      <c r="C80" s="55"/>
      <c r="D80" s="17" t="s">
        <v>248</v>
      </c>
      <c r="E80" s="17"/>
      <c r="F80" s="17"/>
      <c r="G80" s="17"/>
      <c r="H80" s="17"/>
      <c r="I80" s="17"/>
      <c r="J80" s="17"/>
      <c r="K80" s="17"/>
      <c r="L80" s="17"/>
      <c r="M80" s="17"/>
      <c r="N80" s="17"/>
    </row>
    <row r="81" spans="1:14" ht="12" customHeight="1" x14ac:dyDescent="0.3">
      <c r="A81" s="55"/>
      <c r="B81" s="67"/>
      <c r="C81" s="55"/>
      <c r="D81" s="56"/>
      <c r="E81" s="55"/>
      <c r="F81" s="55"/>
      <c r="G81" s="55"/>
      <c r="H81" s="55"/>
      <c r="I81" s="55"/>
      <c r="J81" s="55"/>
      <c r="K81" s="55"/>
      <c r="L81" s="55"/>
      <c r="M81" s="55"/>
      <c r="N81" s="55"/>
    </row>
    <row r="82" spans="1:14" x14ac:dyDescent="0.3">
      <c r="A82" s="17"/>
      <c r="B82" s="68" t="str">
        <f>IF(AND(OR(_37&lt;&gt;0,_101&gt;0,_102&gt;0,_104&gt;0),vstupni_data!B66="x"),vstupni_data!B66,"")</f>
        <v/>
      </c>
      <c r="C82" s="55"/>
      <c r="D82" s="17" t="s">
        <v>249</v>
      </c>
      <c r="E82" s="17"/>
      <c r="F82" s="17"/>
      <c r="G82" s="17"/>
      <c r="H82" s="17"/>
      <c r="I82" s="17"/>
      <c r="J82" s="17"/>
      <c r="K82" s="17"/>
      <c r="L82" s="17"/>
      <c r="M82" s="17"/>
      <c r="N82" s="17"/>
    </row>
    <row r="83" spans="1:14" s="20" customFormat="1" ht="12.75" customHeight="1" x14ac:dyDescent="0.25">
      <c r="A83" s="55"/>
      <c r="B83" s="67"/>
      <c r="C83" s="56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</row>
    <row r="84" spans="1:14" ht="12.75" customHeight="1" x14ac:dyDescent="0.3">
      <c r="A84" s="17"/>
      <c r="B84" s="68" t="str">
        <f>IF(AND(OR(_37&lt;&gt;0,_101&gt;0,_102&gt;0,_104&gt;0),vstupni_data!B84="x"),vstupni_data!B84,"")</f>
        <v/>
      </c>
      <c r="C84" s="55"/>
      <c r="D84" s="17" t="s">
        <v>63</v>
      </c>
      <c r="E84" s="17"/>
      <c r="F84" s="17"/>
      <c r="G84" s="17"/>
      <c r="H84" s="17"/>
      <c r="I84" s="17"/>
      <c r="J84" s="17"/>
      <c r="K84" s="17"/>
      <c r="L84" s="17"/>
      <c r="M84" s="17"/>
      <c r="N84" s="17"/>
    </row>
    <row r="85" spans="1:14" s="20" customFormat="1" x14ac:dyDescent="0.25">
      <c r="A85" s="55"/>
      <c r="B85" s="67"/>
      <c r="C85" s="55"/>
      <c r="D85" s="56"/>
      <c r="E85" s="55"/>
      <c r="F85" s="55"/>
      <c r="G85" s="55"/>
      <c r="H85" s="55"/>
      <c r="I85" s="55"/>
      <c r="J85" s="55"/>
      <c r="K85" s="55"/>
      <c r="L85" s="55"/>
      <c r="M85" s="55"/>
      <c r="N85" s="55"/>
    </row>
    <row r="86" spans="1:14" ht="17.25" customHeight="1" x14ac:dyDescent="0.3">
      <c r="A86" s="55"/>
      <c r="B86" s="68" t="str">
        <f>IF(AND(OR(_37&lt;&gt;0,_101&gt;0,_102&gt;0,_104&gt;0),vstupni_data!B86="x"),vstupni_data!B86,"")</f>
        <v/>
      </c>
      <c r="C86" s="55"/>
      <c r="D86" s="56" t="s">
        <v>250</v>
      </c>
      <c r="E86" s="55"/>
      <c r="F86" s="55"/>
      <c r="G86" s="55"/>
      <c r="H86" s="55"/>
      <c r="I86" s="55"/>
      <c r="J86" s="55"/>
      <c r="K86" s="55"/>
      <c r="L86" s="55"/>
      <c r="M86" s="55"/>
      <c r="N86" s="55"/>
    </row>
    <row r="87" spans="1:14" s="20" customFormat="1" ht="10.5" customHeight="1" x14ac:dyDescent="0.25">
      <c r="A87" s="17"/>
      <c r="B87" s="56"/>
      <c r="C87" s="55"/>
      <c r="D87" s="17" t="s">
        <v>65</v>
      </c>
      <c r="E87" s="17"/>
      <c r="F87" s="17"/>
      <c r="G87" s="17"/>
      <c r="H87" s="17"/>
      <c r="I87" s="17"/>
      <c r="J87" s="17"/>
      <c r="K87" s="17"/>
      <c r="L87" s="17"/>
      <c r="M87" s="17"/>
      <c r="N87" s="17"/>
    </row>
    <row r="88" spans="1:14" s="16" customFormat="1" ht="12" customHeight="1" x14ac:dyDescent="0.3">
      <c r="A88" s="55"/>
      <c r="B88" s="67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</row>
    <row r="89" spans="1:14" s="20" customFormat="1" x14ac:dyDescent="0.25">
      <c r="A89" s="17"/>
      <c r="B89" s="68" t="str">
        <f>IF(AND(OR(_37&lt;&gt;0,_101&gt;0,_102&gt;0,_104&gt;0),vstupni_data!B89="x"),vstupni_data!B89,"")</f>
        <v/>
      </c>
      <c r="C89" s="55"/>
      <c r="D89" s="17" t="s">
        <v>66</v>
      </c>
      <c r="E89" s="17"/>
      <c r="F89" s="17"/>
      <c r="G89" s="17"/>
      <c r="H89" s="17"/>
      <c r="I89" s="17"/>
      <c r="J89" s="17"/>
      <c r="K89" s="17"/>
      <c r="L89" s="17"/>
      <c r="M89" s="17"/>
      <c r="N89" s="17"/>
    </row>
    <row r="90" spans="1:14" s="20" customFormat="1" ht="12" customHeight="1" x14ac:dyDescent="0.25">
      <c r="A90" s="55"/>
      <c r="B90" s="67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</row>
    <row r="91" spans="1:14" s="20" customFormat="1" ht="13.2" x14ac:dyDescent="0.25">
      <c r="A91" s="17"/>
      <c r="B91" s="69" t="str">
        <f>IF(AND(OR(_37&lt;&gt;0,_101&gt;0,_102&gt;0,_104&gt;0),vstupni_data!B91="x"),vstupni_data!B91,"")</f>
        <v/>
      </c>
      <c r="C91" s="17"/>
      <c r="D91" s="17" t="s">
        <v>251</v>
      </c>
      <c r="E91" s="17"/>
      <c r="F91" s="17"/>
      <c r="G91" s="17"/>
      <c r="H91" s="17"/>
      <c r="I91" s="17"/>
      <c r="J91" s="17"/>
      <c r="K91" s="17"/>
      <c r="L91" s="17"/>
      <c r="M91" s="17"/>
      <c r="N91" s="17"/>
    </row>
    <row r="92" spans="1:14" s="20" customFormat="1" ht="12" customHeight="1" x14ac:dyDescent="0.25">
      <c r="A92" s="16"/>
      <c r="B92" s="52"/>
      <c r="C92" s="53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</row>
    <row r="93" spans="1:14" s="20" customFormat="1" x14ac:dyDescent="0.25">
      <c r="A93" s="17"/>
      <c r="B93" s="64" t="s">
        <v>3</v>
      </c>
      <c r="C93" s="55"/>
      <c r="D93" s="17"/>
      <c r="E93" s="17"/>
      <c r="F93" s="67"/>
      <c r="G93" s="55"/>
      <c r="H93" s="17"/>
      <c r="I93" s="17"/>
      <c r="J93" s="17"/>
      <c r="K93" s="55"/>
      <c r="L93" s="17"/>
      <c r="M93" s="17"/>
      <c r="N93" s="17"/>
    </row>
    <row r="94" spans="1:14" x14ac:dyDescent="0.3">
      <c r="A94" s="17"/>
      <c r="B94" s="70" t="str">
        <f>IF(vstupni_data!B9="","","x")</f>
        <v>x</v>
      </c>
      <c r="C94" s="55"/>
      <c r="D94" s="17" t="s">
        <v>78</v>
      </c>
      <c r="E94" s="17"/>
      <c r="F94" s="69" t="str">
        <f>IF(vstupni_data!B9="","x","")</f>
        <v/>
      </c>
      <c r="G94" s="17"/>
      <c r="H94" s="17" t="s">
        <v>79</v>
      </c>
      <c r="I94" s="17"/>
      <c r="J94" s="17"/>
      <c r="K94" s="17"/>
      <c r="L94" s="17"/>
      <c r="M94" s="17"/>
      <c r="N94" s="17"/>
    </row>
    <row r="95" spans="1:14" s="16" customFormat="1" ht="13.5" customHeight="1" x14ac:dyDescent="0.3">
      <c r="A95" s="28"/>
      <c r="B95" s="28"/>
      <c r="D95" s="28"/>
      <c r="E95" s="28"/>
      <c r="F95" s="28"/>
      <c r="G95" s="28"/>
      <c r="H95" s="28"/>
      <c r="I95" s="28"/>
      <c r="J95" s="28"/>
      <c r="K95" s="28"/>
      <c r="L95" s="74"/>
      <c r="M95" s="84"/>
      <c r="N95" s="74"/>
    </row>
    <row r="96" spans="1:14" ht="15.75" customHeight="1" x14ac:dyDescent="0.3">
      <c r="A96" s="17"/>
      <c r="B96" s="56" t="s">
        <v>252</v>
      </c>
      <c r="C96" s="71"/>
      <c r="D96" s="71"/>
      <c r="E96" s="71"/>
      <c r="F96" s="71"/>
      <c r="G96" s="71"/>
      <c r="H96" s="71"/>
      <c r="I96" s="71"/>
      <c r="J96" s="71"/>
      <c r="K96" s="17"/>
      <c r="L96" s="85" t="s">
        <v>253</v>
      </c>
      <c r="M96" s="17"/>
      <c r="N96" s="85" t="s">
        <v>254</v>
      </c>
    </row>
    <row r="97" spans="1:14" s="16" customFormat="1" ht="15" customHeight="1" x14ac:dyDescent="0.3">
      <c r="A97" s="57"/>
      <c r="B97" s="351">
        <f>vstupni_data!B12</f>
        <v>0</v>
      </c>
      <c r="C97" s="352"/>
      <c r="D97" s="352"/>
      <c r="E97" s="352"/>
      <c r="F97" s="352"/>
      <c r="G97" s="352"/>
      <c r="H97" s="352"/>
      <c r="I97" s="352"/>
      <c r="J97" s="353"/>
      <c r="K97" s="57"/>
      <c r="L97" s="302" t="str">
        <f>vstupni_data!R12</f>
        <v/>
      </c>
      <c r="M97" s="17"/>
      <c r="N97" s="302" t="str">
        <f>vstupni_data!T12</f>
        <v/>
      </c>
    </row>
    <row r="98" spans="1:14" x14ac:dyDescent="0.3">
      <c r="A98" s="17"/>
      <c r="B98" s="354"/>
      <c r="C98" s="355"/>
      <c r="D98" s="355"/>
      <c r="E98" s="355"/>
      <c r="F98" s="355"/>
      <c r="G98" s="355"/>
      <c r="H98" s="355"/>
      <c r="I98" s="355"/>
      <c r="J98" s="356"/>
      <c r="K98" s="17"/>
      <c r="L98" s="303"/>
      <c r="M98" s="17"/>
      <c r="N98" s="303"/>
    </row>
    <row r="99" spans="1:14" s="16" customFormat="1" x14ac:dyDescent="0.25">
      <c r="A99" s="28"/>
      <c r="B99" s="58"/>
      <c r="C99" s="28"/>
      <c r="D99" s="28"/>
      <c r="E99" s="28"/>
      <c r="F99" s="28"/>
      <c r="G99" s="28"/>
      <c r="H99" s="28"/>
      <c r="I99" s="28"/>
      <c r="J99" s="28"/>
      <c r="K99" s="28"/>
      <c r="L99" s="73"/>
      <c r="M99" s="74"/>
      <c r="N99" s="73"/>
    </row>
    <row r="100" spans="1:14" x14ac:dyDescent="0.3">
      <c r="A100" s="17"/>
      <c r="B100" s="86" t="s">
        <v>69</v>
      </c>
      <c r="C100" s="17"/>
      <c r="D100" s="17"/>
      <c r="E100" s="17"/>
      <c r="F100" s="17"/>
      <c r="G100" s="17"/>
      <c r="H100" s="17"/>
      <c r="I100" s="17"/>
      <c r="J100" s="17"/>
      <c r="K100" s="59"/>
      <c r="L100" s="87" t="s">
        <v>70</v>
      </c>
      <c r="M100" s="75"/>
      <c r="N100" s="87" t="s">
        <v>71</v>
      </c>
    </row>
    <row r="101" spans="1:14" x14ac:dyDescent="0.3">
      <c r="A101" s="28"/>
      <c r="B101" s="78" t="s">
        <v>72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136">
        <f>prijmy!C3</f>
        <v>0</v>
      </c>
      <c r="M101" s="51"/>
      <c r="N101" s="79">
        <f>IF(AND(_PZZ1 &gt;= 0,_PZP1 &gt;= 0,_OP1 &gt;= 0),_PZZ1,IF(AND(AND(_PZZ1 &gt;= 0,_PZP1 &lt; 0,_OP1 &gt;=0),_PZZ1 + _PZP1/12  &gt;=  0),_PZZ1 + _PZP1/12,IF(AND(AND(_PZZ1 &gt;= 0,_PZP1 &gt;= 0,_OP1 &lt; 0),_OP1 + _PZZ1 &gt;= 0),_OP1 + _PZZ1,IF(AND(AND(_PZZ1&gt;= 0,_PZP1&lt; 0,_OP1&lt; 0),_OP1+_PZP1/12+_PZZ1&gt;= 0),_OP1+_PZP1/12+_PZZ1,0))))</f>
        <v>0</v>
      </c>
    </row>
    <row r="102" spans="1:14" s="61" customFormat="1" ht="13.2" x14ac:dyDescent="0.25">
      <c r="A102" s="17"/>
      <c r="B102" s="19" t="s">
        <v>73</v>
      </c>
      <c r="C102" s="17"/>
      <c r="D102" s="17"/>
      <c r="E102" s="17"/>
      <c r="F102" s="17"/>
      <c r="G102" s="17"/>
      <c r="H102" s="17"/>
      <c r="I102" s="17"/>
      <c r="J102" s="17"/>
      <c r="K102" s="59"/>
      <c r="L102" s="75"/>
      <c r="M102" s="75"/>
      <c r="N102" s="75"/>
    </row>
    <row r="103" spans="1:14" x14ac:dyDescent="0.3">
      <c r="A103" s="28"/>
      <c r="B103" s="78" t="s">
        <v>74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136">
        <f>prijmy!C11</f>
        <v>0</v>
      </c>
      <c r="M103" s="51"/>
      <c r="N103" s="79">
        <f>IF(OR(_PZP1&lt;0,AND(AND(_PZZ1&gt;=0,_PZP1&gt;=0,_OP1&lt;0),_OP1+_PZZ1+_PZP1/12&lt;0)),0,IF(OR((AND(_PZZ1&gt;=0,_PZP1&gt;=0,_OP1&gt;=0)),AND(AND(_PZZ1&gt;=0,_PZP1&gt;= 0,_OP1&lt;0),(_OP1+_PZZ1&gt;=0))),_PZP1,IF(AND(AND(_PZZ1 &gt;= 0,_PZP1 &gt;= 0,_OP1 &lt; 0),_OP1 + _PZZ1 + _PZP1/12  &gt;= 0),(_OP1 + _PZZ1 + _PZP1/12)*12)))</f>
        <v>0</v>
      </c>
    </row>
    <row r="104" spans="1:14" s="17" customFormat="1" ht="13.2" x14ac:dyDescent="0.3">
      <c r="B104" s="19" t="s">
        <v>75</v>
      </c>
      <c r="K104" s="59"/>
      <c r="L104" s="75"/>
      <c r="M104" s="75"/>
      <c r="N104" s="75"/>
    </row>
    <row r="105" spans="1:14" s="17" customFormat="1" ht="13.2" x14ac:dyDescent="0.3">
      <c r="B105" s="60" t="s">
        <v>76</v>
      </c>
      <c r="L105" s="72">
        <f>prijmy!C23</f>
        <v>0</v>
      </c>
      <c r="M105" s="60"/>
      <c r="N105" s="137">
        <f>IF(OR(_OP1&lt;0,AND(AND(_PZZ1&gt;=0,_PZP1&lt;0,_OP1&gt;=0),_PZZ1+_PZP1/12+_OP1&lt;0)),0,IF(OR((AND(_PZZ1&gt;=0,_PZP1&gt;=0,_OP1&gt;=0)),AND(AND(_PZZ1&gt;=0,_PZP1&lt;0,_OP1&gt;=0),(_PZZ1+_PZP1/12&gt;=0))),_OP1,IF(AND(AND(_PZZ1&gt;=0,_PZP1&lt;0,_OP1&gt;=0),_PZZ1+_PZP1/12+_OP1&gt;=0),_PZZ1+_PZP1/12+_OP1)))</f>
        <v>0</v>
      </c>
    </row>
    <row r="106" spans="1:14" x14ac:dyDescent="0.3">
      <c r="A106" s="17"/>
      <c r="B106" s="82"/>
      <c r="C106" s="82"/>
      <c r="D106" s="82"/>
      <c r="E106" s="82"/>
      <c r="F106" s="81"/>
      <c r="G106" s="81"/>
      <c r="H106" s="62"/>
      <c r="I106" s="62"/>
      <c r="J106" s="62"/>
      <c r="K106" s="17"/>
      <c r="L106" s="76"/>
      <c r="M106" s="60"/>
      <c r="N106" s="76"/>
    </row>
    <row r="107" spans="1:14" x14ac:dyDescent="0.3">
      <c r="A107" s="17"/>
      <c r="B107" s="298">
        <f ca="1">TODAY()</f>
        <v>46086</v>
      </c>
      <c r="C107" s="298"/>
      <c r="D107" s="298"/>
      <c r="E107" s="80"/>
      <c r="F107" s="80"/>
      <c r="G107" s="80"/>
      <c r="H107" s="63"/>
      <c r="I107" s="63"/>
      <c r="J107" s="63"/>
      <c r="K107" s="22"/>
      <c r="L107" s="77"/>
      <c r="M107" s="77"/>
      <c r="N107" s="77"/>
    </row>
    <row r="108" spans="1:14" x14ac:dyDescent="0.3">
      <c r="B108" s="60" t="s">
        <v>255</v>
      </c>
      <c r="L108" s="78" t="s">
        <v>256</v>
      </c>
      <c r="M108" s="78"/>
      <c r="N108" s="78"/>
    </row>
  </sheetData>
  <mergeCells count="78">
    <mergeCell ref="D18:K18"/>
    <mergeCell ref="J49:N49"/>
    <mergeCell ref="B56:H56"/>
    <mergeCell ref="J56:N56"/>
    <mergeCell ref="B97:J98"/>
    <mergeCell ref="B45:C45"/>
    <mergeCell ref="B46:C46"/>
    <mergeCell ref="B47:C47"/>
    <mergeCell ref="D45:M45"/>
    <mergeCell ref="D46:M46"/>
    <mergeCell ref="D47:M47"/>
    <mergeCell ref="B42:C42"/>
    <mergeCell ref="B43:C43"/>
    <mergeCell ref="B44:C44"/>
    <mergeCell ref="D42:M42"/>
    <mergeCell ref="D43:M43"/>
    <mergeCell ref="D44:M44"/>
    <mergeCell ref="B39:C39"/>
    <mergeCell ref="B40:C40"/>
    <mergeCell ref="B41:C41"/>
    <mergeCell ref="D39:M39"/>
    <mergeCell ref="D40:M40"/>
    <mergeCell ref="D41:M41"/>
    <mergeCell ref="B33:C33"/>
    <mergeCell ref="B34:C34"/>
    <mergeCell ref="B35:C35"/>
    <mergeCell ref="B38:C38"/>
    <mergeCell ref="D33:M33"/>
    <mergeCell ref="D34:M34"/>
    <mergeCell ref="D35:M35"/>
    <mergeCell ref="D38:M38"/>
    <mergeCell ref="B30:C30"/>
    <mergeCell ref="B31:C31"/>
    <mergeCell ref="B32:C32"/>
    <mergeCell ref="D30:M30"/>
    <mergeCell ref="D31:M31"/>
    <mergeCell ref="D32:M32"/>
    <mergeCell ref="B27:C27"/>
    <mergeCell ref="B28:C28"/>
    <mergeCell ref="B29:C29"/>
    <mergeCell ref="D27:M27"/>
    <mergeCell ref="D28:M28"/>
    <mergeCell ref="D29:M29"/>
    <mergeCell ref="B23:C23"/>
    <mergeCell ref="B24:C24"/>
    <mergeCell ref="D22:M22"/>
    <mergeCell ref="D23:M23"/>
    <mergeCell ref="D24:M24"/>
    <mergeCell ref="J2:N2"/>
    <mergeCell ref="B8:C8"/>
    <mergeCell ref="B10:C10"/>
    <mergeCell ref="B16:C16"/>
    <mergeCell ref="B17:C17"/>
    <mergeCell ref="L17:M17"/>
    <mergeCell ref="B5:M5"/>
    <mergeCell ref="D8:M8"/>
    <mergeCell ref="D10:M10"/>
    <mergeCell ref="D11:M11"/>
    <mergeCell ref="D12:M12"/>
    <mergeCell ref="D13:M13"/>
    <mergeCell ref="D16:M16"/>
    <mergeCell ref="D17:K17"/>
    <mergeCell ref="B107:D107"/>
    <mergeCell ref="B54:H54"/>
    <mergeCell ref="N97:N98"/>
    <mergeCell ref="L97:L98"/>
    <mergeCell ref="B11:C11"/>
    <mergeCell ref="B12:C12"/>
    <mergeCell ref="B13:C13"/>
    <mergeCell ref="B18:C18"/>
    <mergeCell ref="L18:M18"/>
    <mergeCell ref="B19:C19"/>
    <mergeCell ref="B20:C20"/>
    <mergeCell ref="B21:C21"/>
    <mergeCell ref="D19:M19"/>
    <mergeCell ref="D20:M20"/>
    <mergeCell ref="D21:M21"/>
    <mergeCell ref="B22:C22"/>
  </mergeCells>
  <conditionalFormatting sqref="L17:M18">
    <cfRule type="cellIs" dxfId="0" priority="1" stopIfTrue="1" operator="greaterThanOrEqual">
      <formula>0</formula>
    </cfRule>
  </conditionalFormatting>
  <pageMargins left="0.70866141732283472" right="0.70866141732283472" top="0.78740157480314965" bottom="0.78740157480314965" header="0.31496062992125984" footer="0.31496062992125984"/>
  <pageSetup scale="8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alkulačka" ma:contentTypeID="0x010100E9B21ABB10FC3C409AE69C687E14E6B000D7E14EC6F773E44297C3BD8255B9800100F40B6EDB6894B04A92208BDB5F4547D9" ma:contentTypeVersion="118" ma:contentTypeDescription="" ma:contentTypeScope="" ma:versionID="51586d6247c274956322d62f37669528">
  <xsd:schema xmlns:xsd="http://www.w3.org/2001/XMLSchema" xmlns:xs="http://www.w3.org/2001/XMLSchema" xmlns:p="http://schemas.microsoft.com/office/2006/metadata/properties" xmlns:ns2="8d87b81d-37ba-449c-953e-9af555098459" xmlns:ns3="72820a5d-14bf-4cb7-9d9a-bee91911e72e" xmlns:ns4="c413268e-d524-45cb-8c33-4be28defaa8c" targetNamespace="http://schemas.microsoft.com/office/2006/metadata/properties" ma:root="true" ma:fieldsID="e645bca9b1c95f6ad482c93c202c8b08" ns2:_="" ns3:_="" ns4:_="">
    <xsd:import namespace="8d87b81d-37ba-449c-953e-9af555098459"/>
    <xsd:import namespace="72820a5d-14bf-4cb7-9d9a-bee91911e72e"/>
    <xsd:import namespace="c413268e-d524-45cb-8c33-4be28defaa8c"/>
    <xsd:element name="properties">
      <xsd:complexType>
        <xsd:sequence>
          <xsd:element name="documentManagement">
            <xsd:complexType>
              <xsd:all>
                <xsd:element ref="ns2:c92e0ed0a2c842da813dec49f685ddc4" minOccurs="0"/>
                <xsd:element ref="ns2:TaxCatchAll" minOccurs="0"/>
                <xsd:element ref="ns2:TaxCatchAllLabel" minOccurs="0"/>
                <xsd:element ref="ns2:_dlc_DocId" minOccurs="0"/>
                <xsd:element ref="ns2:_dlc_DocIdUrl" minOccurs="0"/>
                <xsd:element ref="ns2:_dlc_DocIdPersistId" minOccurs="0"/>
                <xsd:element ref="ns2:Poradi" minOccurs="0"/>
                <xsd:element ref="ns3:d47968764fc346209c610adc5db17357" minOccurs="0"/>
                <xsd:element ref="ns3:f7dad18aaf3d47129cf9abf8b5beb752" minOccurs="0"/>
                <xsd:element ref="ns3:Metodika" minOccurs="0"/>
                <xsd:element ref="ns3:PlatnostOd" minOccurs="0"/>
                <xsd:element ref="ns3:PlatnostDo" minOccurs="0"/>
                <xsd:element ref="ns3:OdkazNaNavod" minOccurs="0"/>
                <xsd:element ref="ns2:idd83c2d92bc4f77beef5be23ddf56e2" minOccurs="0"/>
                <xsd:element ref="ns3:TaxKeywordTaxHTField" minOccurs="0"/>
                <xsd:element ref="ns2:KratkyPopis" minOccurs="0"/>
                <xsd:element ref="ns3:Stáhnout" minOccurs="0"/>
                <xsd:element ref="ns2:o538ae1070924e1a87b0f1b7756573c0" minOccurs="0"/>
                <xsd:element ref="ns3:Metodika2SortTitle" minOccurs="0"/>
                <xsd:element ref="ns3:Metodika2SortIndex" minOccurs="0"/>
                <xsd:element ref="ns3:SharedWithUsers" minOccurs="0"/>
                <xsd:element ref="ns3:SharedWithDetails" minOccurs="0"/>
                <xsd:element ref="ns4:Produkt_x0020__x002d__x0020_nov_x011b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87b81d-37ba-449c-953e-9af555098459" elementFormDefault="qualified">
    <xsd:import namespace="http://schemas.microsoft.com/office/2006/documentManagement/types"/>
    <xsd:import namespace="http://schemas.microsoft.com/office/infopath/2007/PartnerControls"/>
    <xsd:element name="c92e0ed0a2c842da813dec49f685ddc4" ma:index="8" ma:taxonomy="true" ma:internalName="c92e0ed0a2c842da813dec49f685ddc4" ma:taxonomyFieldName="KlasifikaceDuvernosti" ma:displayName="Klasifikace důvernosti" ma:indexed="true" ma:default="1;#C1|8f06b5fa-bf75-4f67-b1d4-f86d7b7fe1bd" ma:fieldId="{c92e0ed0-a2c8-42da-813d-ec49f685ddc4}" ma:sspId="6be7efbd-1235-46ec-820f-b4d810fcbcb0" ma:termSetId="07a16602-69dd-4c25-9e20-ddcbb44ac33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Sloupec zachycení celé taxonomie" ma:hidden="true" ma:list="{2daa29ba-6b4b-474c-949b-df7c87dcbbd6}" ma:internalName="TaxCatchAll" ma:showField="CatchAllData" ma:web="72820a5d-14bf-4cb7-9d9a-bee91911e72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Sloupec zachycení celé taxonomie1" ma:hidden="true" ma:list="{2daa29ba-6b4b-474c-949b-df7c87dcbbd6}" ma:internalName="TaxCatchAllLabel" ma:readOnly="true" ma:showField="CatchAllDataLabel" ma:web="72820a5d-14bf-4cb7-9d9a-bee91911e72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2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13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4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Poradi" ma:index="15" nillable="true" ma:displayName="Pořadí" ma:decimals="0" ma:indexed="true" ma:internalName="Poradi" ma:percentage="FALSE">
      <xsd:simpleType>
        <xsd:restriction base="dms:Number"/>
      </xsd:simpleType>
    </xsd:element>
    <xsd:element name="idd83c2d92bc4f77beef5be23ddf56e2" ma:index="24" ma:taxonomy="true" ma:internalName="idd83c2d92bc4f77beef5be23ddf56e2" ma:taxonomyFieldName="Produkty" ma:displayName="Produkty - původně" ma:default="" ma:fieldId="{2dd83c2d-92bc-4f77-beef-5be23ddf56e2}" ma:taxonomyMulti="true" ma:sspId="6be7efbd-1235-46ec-820f-b4d810fcbcb0" ma:termSetId="45f7810d-fb4d-4fd8-b162-031744e4e1d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ratkyPopis" ma:index="29" nillable="true" ma:displayName="Krátký popis" ma:internalName="KratkyPopis">
      <xsd:simpleType>
        <xsd:restriction base="dms:Note">
          <xsd:maxLength value="255"/>
        </xsd:restriction>
      </xsd:simpleType>
    </xsd:element>
    <xsd:element name="o538ae1070924e1a87b0f1b7756573c0" ma:index="31" nillable="true" ma:taxonomy="true" ma:internalName="o538ae1070924e1a87b0f1b7756573c0" ma:taxonomyFieldName="Metodika2" ma:displayName="Metodika2" ma:default="" ma:fieldId="{8538ae10-7092-4e1a-87b0-f1b7756573c0}" ma:taxonomyMulti="true" ma:sspId="6be7efbd-1235-46ec-820f-b4d810fcbcb0" ma:termSetId="f656f672-f1aa-4f6d-87c7-1609bc56dc4d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820a5d-14bf-4cb7-9d9a-bee91911e72e" elementFormDefault="qualified">
    <xsd:import namespace="http://schemas.microsoft.com/office/2006/documentManagement/types"/>
    <xsd:import namespace="http://schemas.microsoft.com/office/infopath/2007/PartnerControls"/>
    <xsd:element name="d47968764fc346209c610adc5db17357" ma:index="16" ma:taxonomy="true" ma:internalName="d47968764fc346209c610adc5db17357" ma:taxonomyFieldName="Firmy" ma:displayName="Firmy" ma:indexed="true" ma:readOnly="false" ma:default="" ma:fieldId="{d4796876-4fc3-4620-9c61-0adc5db17357}" ma:sspId="6be7efbd-1235-46ec-820f-b4d810fcbcb0" ma:termSetId="4e1c5856-d3de-4506-af77-31ed3675364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7dad18aaf3d47129cf9abf8b5beb752" ma:index="18" nillable="true" ma:taxonomy="true" ma:internalName="f7dad18aaf3d47129cf9abf8b5beb752" ma:taxonomyFieldName="KategorieProdukty" ma:displayName="Kategorie produkty" ma:indexed="true" ma:default="2;#Žádné|7850ef93-9d46-4724-8aeb-d90a78f10000" ma:fieldId="{f7dad18a-af3d-4712-9cf9-abf8b5beb752}" ma:sspId="6be7efbd-1235-46ec-820f-b4d810fcbcb0" ma:termSetId="1e10b0df-e0aa-453b-9fdd-b8a15812380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todika" ma:index="20" nillable="true" ma:displayName="Metodika" ma:default="0" ma:internalName="Metodika">
      <xsd:simpleType>
        <xsd:restriction base="dms:Boolean"/>
      </xsd:simpleType>
    </xsd:element>
    <xsd:element name="PlatnostOd" ma:index="21" nillable="true" ma:displayName="Platnost od" ma:format="DateOnly" ma:indexed="true" ma:internalName="PlatnostOd">
      <xsd:simpleType>
        <xsd:restriction base="dms:DateTime"/>
      </xsd:simpleType>
    </xsd:element>
    <xsd:element name="PlatnostDo" ma:index="22" nillable="true" ma:displayName="Platnost do" ma:format="DateOnly" ma:indexed="true" ma:internalName="PlatnostDo">
      <xsd:simpleType>
        <xsd:restriction base="dms:DateTime"/>
      </xsd:simpleType>
    </xsd:element>
    <xsd:element name="OdkazNaNavod" ma:index="23" nillable="true" ma:displayName="Odkaz na návod" ma:format="Hyperlink" ma:internalName="OdkazNaNavod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TaxKeywordTaxHTField" ma:index="27" nillable="true" ma:taxonomy="true" ma:internalName="TaxKeywordTaxHTField" ma:taxonomyFieldName="TaxKeyword" ma:displayName="Podniková klíčová slova" ma:fieldId="{23f27201-bee3-471e-b2e7-b64fd8b7ca38}" ma:taxonomyMulti="true" ma:sspId="6be7efbd-1235-46ec-820f-b4d810fcbcb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Stáhnout" ma:index="30" nillable="true" ma:displayName="Stáhnout" ma:description="Odkaz ke stažení dokumentu" ma:format="Hyperlink" ma:internalName="St_x00e1_hnout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todika2SortTitle" ma:index="33" nillable="true" ma:displayName="Metodika2SortTitle" ma:internalName="Metodika2SortTitle">
      <xsd:simpleType>
        <xsd:restriction base="dms:Text">
          <xsd:maxLength value="255"/>
        </xsd:restriction>
      </xsd:simpleType>
    </xsd:element>
    <xsd:element name="Metodika2SortIndex" ma:index="34" nillable="true" ma:displayName="Metodika2SortIndex" ma:internalName="Metodika2SortIndex">
      <xsd:simpleType>
        <xsd:restriction base="dms:Text">
          <xsd:maxLength value="255"/>
        </xsd:restriction>
      </xsd:simpleType>
    </xsd:element>
    <xsd:element name="SharedWithUsers" ma:index="3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13268e-d524-45cb-8c33-4be28defaa8c" elementFormDefault="qualified">
    <xsd:import namespace="http://schemas.microsoft.com/office/2006/documentManagement/types"/>
    <xsd:import namespace="http://schemas.microsoft.com/office/infopath/2007/PartnerControls"/>
    <xsd:element name="Produkt_x0020__x002d__x0020_nov_x011b_" ma:index="37" nillable="true" ma:displayName="Produkt" ma:internalName="Produkt_x0020__x002d__x0020_nov_x011b_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6be7efbd-1235-46ec-820f-b4d810fcbcb0" ContentTypeId="0x010100E9B21ABB10FC3C409AE69C687E14E6B0" PreviousValue="false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FormUrls xmlns="http://schemas.microsoft.com/sharepoint/v3/contenttype/forms/url">
  <Display>_layouts/15/SD.MPSS.Metodika2.Upload2/Metodika2DisplayForm.aspx</Display>
  <Edit>_layouts/15/SD.MPSS.Metodika2.Upload2/Metodika2EditForm.aspx</Edit>
</FormUrls>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dkazNaNavod xmlns="72820a5d-14bf-4cb7-9d9a-bee91911e72e">
      <Url>https://intranet.mpss.cz/Znalosti/Produktovykatalog/_layouts/15/DocIdRedir.aspx?ID=DWHD2CWDYEP6-207436888-857</Url>
      <Description>odkaz na návod</Description>
    </OdkazNaNavod>
    <Metodika2SortTitle xmlns="72820a5d-14bf-4cb7-9d9a-bee91911e72e">kalkulacka_dp_2024_ v 12.1.0</Metodika2SortTitle>
    <KratkyPopis xmlns="8d87b81d-37ba-449c-953e-9af555098459">Kalkulacka_DP_2024_ v 12.1.0</KratkyPopis>
    <Metodika2SortIndex xmlns="72820a5d-14bf-4cb7-9d9a-bee91911e72e" xsi:nil="true"/>
    <TaxKeywordTaxHTField xmlns="72820a5d-14bf-4cb7-9d9a-bee91911e72e">
      <Terms xmlns="http://schemas.microsoft.com/office/infopath/2007/PartnerControls"/>
    </TaxKeywordTaxHTField>
    <Stáhnout xmlns="72820a5d-14bf-4cb7-9d9a-bee91911e72e">
      <Url>https://intranet.mpss.cz/Znalosti/Kalkulacky/_layouts/15/DocIdRedir.aspx?ID=DWHD2CWDYEP6-1718008799-253</Url>
      <Description>Kalkulacka_DP_2024_ v 12.1.0</Description>
    </Stáhnout>
    <Produkt_x0020__x002d__x0020_nov_x011b_ xmlns="c413268e-d524-45cb-8c33-4be28defaa8c">Úvěr MP</Produkt_x0020__x002d__x0020_nov_x011b_>
    <idd83c2d92bc4f77beef5be23ddf56e2 xmlns="8d87b81d-37ba-449c-953e-9af55509845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Stavební spoření a úvěry MP</TermName>
          <TermId xmlns="http://schemas.microsoft.com/office/infopath/2007/PartnerControls">f7dfdb34-debf-4981-9063-691b9bcc122e</TermId>
        </TermInfo>
      </Terms>
    </idd83c2d92bc4f77beef5be23ddf56e2>
    <Poradi xmlns="8d87b81d-37ba-449c-953e-9af555098459" xsi:nil="true"/>
    <f7dad18aaf3d47129cf9abf8b5beb752 xmlns="72820a5d-14bf-4cb7-9d9a-bee91911e72e">
      <Terms xmlns="http://schemas.microsoft.com/office/infopath/2007/PartnerControls">
        <TermInfo xmlns="http://schemas.microsoft.com/office/infopath/2007/PartnerControls">
          <TermName xmlns="http://schemas.microsoft.com/office/infopath/2007/PartnerControls">2 - Financování bydlení</TermName>
          <TermId xmlns="http://schemas.microsoft.com/office/infopath/2007/PartnerControls">da3d3b07-70fa-4d8f-baf6-5d66fa28704b</TermId>
        </TermInfo>
      </Terms>
    </f7dad18aaf3d47129cf9abf8b5beb752>
    <o538ae1070924e1a87b0f1b7756573c0 xmlns="8d87b81d-37ba-449c-953e-9af555098459">
      <Terms xmlns="http://schemas.microsoft.com/office/infopath/2007/PartnerControls">
        <TermInfo xmlns="http://schemas.microsoft.com/office/infopath/2007/PartnerControls">
          <TermName xmlns="http://schemas.microsoft.com/office/infopath/2007/PartnerControls">Nezajištěný úvěr MP</TermName>
          <TermId xmlns="http://schemas.microsoft.com/office/infopath/2007/PartnerControls">3AD3E5B5-A4D1-4325-B82C-EE5507E3EB51</TermId>
        </TermInfo>
        <TermInfo xmlns="http://schemas.microsoft.com/office/infopath/2007/PartnerControls">
          <TermName xmlns="http://schemas.microsoft.com/office/infopath/2007/PartnerControls">Nový</TermName>
          <TermId xmlns="http://schemas.microsoft.com/office/infopath/2007/PartnerControls">F19AD0F6-5B99-4dd9-9B06-A04DCFDF1EC8</TermId>
        </TermInfo>
        <TermInfo xmlns="http://schemas.microsoft.com/office/infopath/2007/PartnerControls">
          <TermName xmlns="http://schemas.microsoft.com/office/infopath/2007/PartnerControls">PdÚ</TermName>
          <TermId xmlns="http://schemas.microsoft.com/office/infopath/2007/PartnerControls">0B2E423D-B551-4c13-8D72-18466DE3D30B</TermId>
        </TermInfo>
        <TermInfo xmlns="http://schemas.microsoft.com/office/infopath/2007/PartnerControls">
          <TermName xmlns="http://schemas.microsoft.com/office/infopath/2007/PartnerControls">Rychloúvěr</TermName>
          <TermId xmlns="http://schemas.microsoft.com/office/infopath/2007/PartnerControls">0ABC712F-6541-492e-85AE-8D74E2FB2396</TermId>
        </TermInfo>
        <TermInfo xmlns="http://schemas.microsoft.com/office/infopath/2007/PartnerControls">
          <TermName xmlns="http://schemas.microsoft.com/office/infopath/2007/PartnerControls">Klient</TermName>
          <TermId xmlns="http://schemas.microsoft.com/office/infopath/2007/PartnerControls">93816C96-C81D-471e-A2C8-B9E95DA19F36</TermId>
        </TermInfo>
        <TermInfo xmlns="http://schemas.microsoft.com/office/infopath/2007/PartnerControls">
          <TermName xmlns="http://schemas.microsoft.com/office/infopath/2007/PartnerControls">Neklient</TermName>
          <TermId xmlns="http://schemas.microsoft.com/office/infopath/2007/PartnerControls">79ACA436-72CA-4729-8215-E77D55EF7269</TermId>
        </TermInfo>
        <TermInfo xmlns="http://schemas.microsoft.com/office/infopath/2007/PartnerControls">
          <TermName xmlns="http://schemas.microsoft.com/office/infopath/2007/PartnerControls">občan</TermName>
          <TermId xmlns="http://schemas.microsoft.com/office/infopath/2007/PartnerControls">CB68B809-060D-4594-8C46-00C267367428</TermId>
        </TermInfo>
        <TermInfo xmlns="http://schemas.microsoft.com/office/infopath/2007/PartnerControls">
          <TermName xmlns="http://schemas.microsoft.com/office/infopath/2007/PartnerControls">cizinec</TermName>
          <TermId xmlns="http://schemas.microsoft.com/office/infopath/2007/PartnerControls">9BA12859-6D7D-4064-B13E-1F5353C495C8</TermId>
        </TermInfo>
        <TermInfo xmlns="http://schemas.microsoft.com/office/infopath/2007/PartnerControls">
          <TermName xmlns="http://schemas.microsoft.com/office/infopath/2007/PartnerControls">dospělý</TermName>
          <TermId xmlns="http://schemas.microsoft.com/office/infopath/2007/PartnerControls">3051CA36-D429-48c8-BDCA-3B286156193C</TermId>
        </TermInfo>
        <TermInfo xmlns="http://schemas.microsoft.com/office/infopath/2007/PartnerControls">
          <TermName xmlns="http://schemas.microsoft.com/office/infopath/2007/PartnerControls">nezletilý</TermName>
          <TermId xmlns="http://schemas.microsoft.com/office/infopath/2007/PartnerControls">89BBA726-E5E8-4661-94DF-E4D2A9399C8E</TermId>
        </TermInfo>
        <TermInfo xmlns="http://schemas.microsoft.com/office/infopath/2007/PartnerControls">
          <TermName xmlns="http://schemas.microsoft.com/office/infopath/2007/PartnerControls">OSVČ</TermName>
          <TermId xmlns="http://schemas.microsoft.com/office/infopath/2007/PartnerControls">62B1DFB1-6C0E-4a8e-8218-BAEFF25292A5</TermId>
        </TermInfo>
        <TermInfo xmlns="http://schemas.microsoft.com/office/infopath/2007/PartnerControls">
          <TermName xmlns="http://schemas.microsoft.com/office/infopath/2007/PartnerControls">zaměstnaný</TermName>
          <TermId xmlns="http://schemas.microsoft.com/office/infopath/2007/PartnerControls">D73A27DE-6B76-4662-8DE3-E6FC223728E4</TermId>
        </TermInfo>
        <TermInfo xmlns="http://schemas.microsoft.com/office/infopath/2007/PartnerControls">
          <TermName xmlns="http://schemas.microsoft.com/office/infopath/2007/PartnerControls">ostatní příjmy</TermName>
          <TermId xmlns="http://schemas.microsoft.com/office/infopath/2007/PartnerControls">FBF886BD-4E9A-4288-B64D-B57BF214E427</TermId>
        </TermInfo>
        <TermInfo xmlns="http://schemas.microsoft.com/office/infopath/2007/PartnerControls">
          <TermName xmlns="http://schemas.microsoft.com/office/infopath/2007/PartnerControls">příjmy v ČR</TermName>
          <TermId xmlns="http://schemas.microsoft.com/office/infopath/2007/PartnerControls">947FDDFE-6FC0-472a-96A3-A084E6B7159D</TermId>
        </TermInfo>
        <TermInfo xmlns="http://schemas.microsoft.com/office/infopath/2007/PartnerControls">
          <TermName xmlns="http://schemas.microsoft.com/office/infopath/2007/PartnerControls">příjmy mimo ČR</TermName>
          <TermId xmlns="http://schemas.microsoft.com/office/infopath/2007/PartnerControls">6CA00B16-C051-426d-94D9-8B4F88B9D8E1</TermId>
        </TermInfo>
        <TermInfo xmlns="http://schemas.microsoft.com/office/infopath/2007/PartnerControls">
          <TermName xmlns="http://schemas.microsoft.com/office/infopath/2007/PartnerControls">nad 5.000.000</TermName>
          <TermId xmlns="http://schemas.microsoft.com/office/infopath/2007/PartnerControls">B3A775E1-12AB-403e-9C94-895A7359CCDA</TermId>
        </TermInfo>
        <TermInfo xmlns="http://schemas.microsoft.com/office/infopath/2007/PartnerControls">
          <TermName xmlns="http://schemas.microsoft.com/office/infopath/2007/PartnerControls">do 5.000.000</TermName>
          <TermId xmlns="http://schemas.microsoft.com/office/infopath/2007/PartnerControls">30D3AD32-BB76-4437-BA1F-9F1BC52C029E</TermId>
        </TermInfo>
        <TermInfo xmlns="http://schemas.microsoft.com/office/infopath/2007/PartnerControls">
          <TermName xmlns="http://schemas.microsoft.com/office/infopath/2007/PartnerControls">Výstavba</TermName>
          <TermId xmlns="http://schemas.microsoft.com/office/infopath/2007/PartnerControls">4E53831B-BFB6-4165-BEE1-8B892574BF83</TermId>
        </TermInfo>
        <TermInfo xmlns="http://schemas.microsoft.com/office/infopath/2007/PartnerControls">
          <TermName xmlns="http://schemas.microsoft.com/office/infopath/2007/PartnerControls">Rekonstrukce</TermName>
          <TermId xmlns="http://schemas.microsoft.com/office/infopath/2007/PartnerControls">B5A14EA0-D370-4653-A8CA-6340DBA141EC</TermId>
        </TermInfo>
        <TermInfo xmlns="http://schemas.microsoft.com/office/infopath/2007/PartnerControls">
          <TermName xmlns="http://schemas.microsoft.com/office/infopath/2007/PartnerControls">Koupě</TermName>
          <TermId xmlns="http://schemas.microsoft.com/office/infopath/2007/PartnerControls">155F5786-9700-4e1d-BAAF-E2D6FC3484C8</TermId>
        </TermInfo>
        <TermInfo xmlns="http://schemas.microsoft.com/office/infopath/2007/PartnerControls">
          <TermName xmlns="http://schemas.microsoft.com/office/infopath/2007/PartnerControls">Refinancování</TermName>
          <TermId xmlns="http://schemas.microsoft.com/office/infopath/2007/PartnerControls">3841753C-AE50-4509-8E8F-BD035CC04ABE</TermId>
        </TermInfo>
        <TermInfo xmlns="http://schemas.microsoft.com/office/infopath/2007/PartnerControls">
          <TermName xmlns="http://schemas.microsoft.com/office/infopath/2007/PartnerControls">Jiný</TermName>
          <TermId xmlns="http://schemas.microsoft.com/office/infopath/2007/PartnerControls">B6BF1F1E-D32A-4870-BE5D-35AEDBE54DAE</TermId>
        </TermInfo>
        <TermInfo xmlns="http://schemas.microsoft.com/office/infopath/2007/PartnerControls">
          <TermName xmlns="http://schemas.microsoft.com/office/infopath/2007/PartnerControls">Průběh</TermName>
          <TermId xmlns="http://schemas.microsoft.com/office/infopath/2007/PartnerControls">830BD2E8-018B-4376-B20F-95AD93CF3D25</TermId>
        </TermInfo>
        <TermInfo xmlns="http://schemas.microsoft.com/office/infopath/2007/PartnerControls">
          <TermName xmlns="http://schemas.microsoft.com/office/infopath/2007/PartnerControls">změna účastníka</TermName>
          <TermId xmlns="http://schemas.microsoft.com/office/infopath/2007/PartnerControls">95A14E91-CCC8-45d0-B628-C304E2D19107</TermId>
        </TermInfo>
        <TermInfo xmlns="http://schemas.microsoft.com/office/infopath/2007/PartnerControls">
          <TermName xmlns="http://schemas.microsoft.com/office/infopath/2007/PartnerControls">změna účelu</TermName>
          <TermId xmlns="http://schemas.microsoft.com/office/infopath/2007/PartnerControls">EAB539B7-FC84-487a-B24A-50EA98707EB1</TermId>
        </TermInfo>
        <TermInfo xmlns="http://schemas.microsoft.com/office/infopath/2007/PartnerControls">
          <TermName xmlns="http://schemas.microsoft.com/office/infopath/2007/PartnerControls">změna parametrů</TermName>
          <TermId xmlns="http://schemas.microsoft.com/office/infopath/2007/PartnerControls">3B22BCF9-B959-4e89-9620-1ACAA593A3DA</TermId>
        </TermInfo>
        <TermInfo xmlns="http://schemas.microsoft.com/office/infopath/2007/PartnerControls">
          <TermName xmlns="http://schemas.microsoft.com/office/infopath/2007/PartnerControls">čerpání</TermName>
          <TermId xmlns="http://schemas.microsoft.com/office/infopath/2007/PartnerControls">B3F3C78F-380F-4b93-999D-DAF9B7ACA51E</TermId>
        </TermInfo>
        <TermInfo xmlns="http://schemas.microsoft.com/office/infopath/2007/PartnerControls">
          <TermName xmlns="http://schemas.microsoft.com/office/infopath/2007/PartnerControls">Hypoúvěr</TermName>
          <TermId xmlns="http://schemas.microsoft.com/office/infopath/2007/PartnerControls">D1E903E7-A5C0-4f9d-B62C-33AC5FD80476</TermId>
        </TermInfo>
        <TermInfo xmlns="http://schemas.microsoft.com/office/infopath/2007/PartnerControls">
          <TermName xmlns="http://schemas.microsoft.com/office/infopath/2007/PartnerControls">zajištění ke schválení</TermName>
          <TermId xmlns="http://schemas.microsoft.com/office/infopath/2007/PartnerControls">F02FA2E0-BDEF-4056-8B65-D8C0586CCE61</TermId>
        </TermInfo>
        <TermInfo xmlns="http://schemas.microsoft.com/office/infopath/2007/PartnerControls">
          <TermName xmlns="http://schemas.microsoft.com/office/infopath/2007/PartnerControls">zajištění po čerpání (předhypo)</TermName>
          <TermId xmlns="http://schemas.microsoft.com/office/infopath/2007/PartnerControls">1BD504C8-8540-4950-BBB2-52B668BFFEDA</TermId>
        </TermInfo>
        <TermInfo xmlns="http://schemas.microsoft.com/office/infopath/2007/PartnerControls">
          <TermName xmlns="http://schemas.microsoft.com/office/infopath/2007/PartnerControls">změna zajištění</TermName>
          <TermId xmlns="http://schemas.microsoft.com/office/infopath/2007/PartnerControls">35978D3A-7C16-48a2-A887-170C3E86E9B0</TermId>
        </TermInfo>
      </Terms>
    </o538ae1070924e1a87b0f1b7756573c0>
    <TaxCatchAll xmlns="8d87b81d-37ba-449c-953e-9af555098459">
      <Value>256</Value>
      <Value>255</Value>
      <Value>254</Value>
      <Value>251</Value>
      <Value>250</Value>
      <Value>249</Value>
      <Value>248</Value>
      <Value>247</Value>
      <Value>313</Value>
      <Value>245</Value>
      <Value>244</Value>
      <Value>243</Value>
      <Value>242</Value>
      <Value>241</Value>
      <Value>240</Value>
      <Value>239</Value>
      <Value>238</Value>
      <Value>237</Value>
      <Value>235</Value>
      <Value>234</Value>
      <Value>233</Value>
      <Value>232</Value>
      <Value>231</Value>
      <Value>230</Value>
      <Value>229</Value>
      <Value>227</Value>
      <Value>226</Value>
      <Value>225</Value>
      <Value>224</Value>
      <Value>223</Value>
      <Value>222</Value>
      <Value>32</Value>
      <Value>18</Value>
      <Value>246</Value>
      <Value>1</Value>
    </TaxCatchAll>
    <c92e0ed0a2c842da813dec49f685ddc4 xmlns="8d87b81d-37ba-449c-953e-9af555098459">
      <Terms xmlns="http://schemas.microsoft.com/office/infopath/2007/PartnerControls">
        <TermInfo xmlns="http://schemas.microsoft.com/office/infopath/2007/PartnerControls">
          <TermName xmlns="http://schemas.microsoft.com/office/infopath/2007/PartnerControls">C1</TermName>
          <TermId xmlns="http://schemas.microsoft.com/office/infopath/2007/PartnerControls">8f06b5fa-bf75-4f67-b1d4-f86d7b7fe1bd</TermId>
        </TermInfo>
      </Terms>
    </c92e0ed0a2c842da813dec49f685ddc4>
    <Metodika xmlns="72820a5d-14bf-4cb7-9d9a-bee91911e72e">true</Metodika>
    <PlatnostDo xmlns="72820a5d-14bf-4cb7-9d9a-bee91911e72e">2099-12-30T23:00:00+00:00</PlatnostDo>
    <d47968764fc346209c610adc5db17357 xmlns="72820a5d-14bf-4cb7-9d9a-bee91911e72e">
      <Terms xmlns="http://schemas.microsoft.com/office/infopath/2007/PartnerControls">
        <TermInfo xmlns="http://schemas.microsoft.com/office/infopath/2007/PartnerControls">
          <TermName xmlns="http://schemas.microsoft.com/office/infopath/2007/PartnerControls">Modrá pyramida</TermName>
          <TermId xmlns="http://schemas.microsoft.com/office/infopath/2007/PartnerControls">bacb51b1-3cbd-4ff6-b374-ca201b1de24a</TermId>
        </TermInfo>
      </Terms>
    </d47968764fc346209c610adc5db17357>
    <PlatnostOd xmlns="72820a5d-14bf-4cb7-9d9a-bee91911e72e">2026-03-04T23:00:00+00:00</PlatnostOd>
    <_dlc_DocId xmlns="8d87b81d-37ba-449c-953e-9af555098459">DWHD2CWDYEP6-1718008799-253</_dlc_DocId>
    <_dlc_DocIdUrl xmlns="8d87b81d-37ba-449c-953e-9af555098459">
      <Url>https://intranet.mpss.cz/Znalosti/Kalkulacky/_layouts/15/DocIdRedir.aspx?ID=DWHD2CWDYEP6-1718008799-253</Url>
      <Description>DWHD2CWDYEP6-1718008799-253</Description>
    </_dlc_DocIdUrl>
  </documentManagement>
</p:properties>
</file>

<file path=customXml/item7.xml><?xml version="1.0" encoding="utf-8"?>
<?mso-contentType ?>
<FormUrls xmlns="http://schemas.microsoft.com/sharepoint/v3/contenttype/forms/url">
  <Display>_layouts/15/SD.MPSS.Metodika2.Upload2/Metodika2DisplayForm.aspx</Display>
  <Edit>_layouts/15/SD.MPSS.Metodika2.Upload2/Metodika2EditForm.aspx</Edit>
</FormUrls>
</file>

<file path=customXml/itemProps1.xml><?xml version="1.0" encoding="utf-8"?>
<ds:datastoreItem xmlns:ds="http://schemas.openxmlformats.org/officeDocument/2006/customXml" ds:itemID="{E23CC880-7D96-4E86-9863-DE48D7F48033}"/>
</file>

<file path=customXml/itemProps2.xml><?xml version="1.0" encoding="utf-8"?>
<ds:datastoreItem xmlns:ds="http://schemas.openxmlformats.org/officeDocument/2006/customXml" ds:itemID="{2F589D2C-4C32-452F-A544-416F087E69E5}"/>
</file>

<file path=customXml/itemProps3.xml><?xml version="1.0" encoding="utf-8"?>
<ds:datastoreItem xmlns:ds="http://schemas.openxmlformats.org/officeDocument/2006/customXml" ds:itemID="{E4AB50CC-B113-4B00-A71B-115D41F1A87C}"/>
</file>

<file path=customXml/itemProps4.xml><?xml version="1.0" encoding="utf-8"?>
<ds:datastoreItem xmlns:ds="http://schemas.openxmlformats.org/officeDocument/2006/customXml" ds:itemID="{6A64E445-527B-4D62-8C1D-CC887CCF4610}"/>
</file>

<file path=customXml/itemProps5.xml><?xml version="1.0" encoding="utf-8"?>
<ds:datastoreItem xmlns:ds="http://schemas.openxmlformats.org/officeDocument/2006/customXml" ds:itemID="{AC048D83-069E-4922-9986-A838D7D6844F}"/>
</file>

<file path=customXml/itemProps6.xml><?xml version="1.0" encoding="utf-8"?>
<ds:datastoreItem xmlns:ds="http://schemas.openxmlformats.org/officeDocument/2006/customXml" ds:itemID="{67DB6A7D-422F-4121-B914-4299FD0AA813}"/>
</file>

<file path=customXml/itemProps7.xml><?xml version="1.0" encoding="utf-8"?>
<ds:datastoreItem xmlns:ds="http://schemas.openxmlformats.org/officeDocument/2006/customXml" ds:itemID="{7A2AF663-8E20-4568-84C5-E081EB6F578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44</vt:i4>
      </vt:variant>
    </vt:vector>
  </HeadingPairs>
  <TitlesOfParts>
    <vt:vector size="45" baseType="lpstr">
      <vt:lpstr>vstupni_data</vt:lpstr>
      <vt:lpstr>_101</vt:lpstr>
      <vt:lpstr>_102</vt:lpstr>
      <vt:lpstr>_102mod</vt:lpstr>
      <vt:lpstr>_104</vt:lpstr>
      <vt:lpstr>_104mod</vt:lpstr>
      <vt:lpstr>_105</vt:lpstr>
      <vt:lpstr>_106</vt:lpstr>
      <vt:lpstr>_107</vt:lpstr>
      <vt:lpstr>_108</vt:lpstr>
      <vt:lpstr>_109</vt:lpstr>
      <vt:lpstr>_110</vt:lpstr>
      <vt:lpstr>_31</vt:lpstr>
      <vt:lpstr>_37</vt:lpstr>
      <vt:lpstr>_38</vt:lpstr>
      <vt:lpstr>_39</vt:lpstr>
      <vt:lpstr>_44</vt:lpstr>
      <vt:lpstr>_46</vt:lpstr>
      <vt:lpstr>_47</vt:lpstr>
      <vt:lpstr>_48</vt:lpstr>
      <vt:lpstr>_49</vt:lpstr>
      <vt:lpstr>_50</vt:lpstr>
      <vt:lpstr>_51</vt:lpstr>
      <vt:lpstr>_52</vt:lpstr>
      <vt:lpstr>_53</vt:lpstr>
      <vt:lpstr>_64</vt:lpstr>
      <vt:lpstr>_65a</vt:lpstr>
      <vt:lpstr>_65b</vt:lpstr>
      <vt:lpstr>_66</vt:lpstr>
      <vt:lpstr>_67</vt:lpstr>
      <vt:lpstr>_68</vt:lpstr>
      <vt:lpstr>_69</vt:lpstr>
      <vt:lpstr>_69a</vt:lpstr>
      <vt:lpstr>_69b</vt:lpstr>
      <vt:lpstr>_72</vt:lpstr>
      <vt:lpstr>_OP1</vt:lpstr>
      <vt:lpstr>_OP1_</vt:lpstr>
      <vt:lpstr>_PZP1</vt:lpstr>
      <vt:lpstr>_PZP1_</vt:lpstr>
      <vt:lpstr>_PZZ1</vt:lpstr>
      <vt:lpstr>_PZZ1_</vt:lpstr>
      <vt:lpstr>NACE</vt:lpstr>
      <vt:lpstr>NACE_MOD_KB</vt:lpstr>
      <vt:lpstr>NACE_NULL</vt:lpstr>
      <vt:lpstr>prumer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Kalkulacka_DP_2024_ v 12.1.0</dc:title>
  <dc:subject/>
  <dc:creator>Holub Miroslav</dc:creator>
  <cp:keywords/>
  <dc:description/>
  <cp:lastModifiedBy>Berankova Katerina</cp:lastModifiedBy>
  <cp:revision/>
  <dcterms:created xsi:type="dcterms:W3CDTF">2015-06-05T18:19:34Z</dcterms:created>
  <dcterms:modified xsi:type="dcterms:W3CDTF">2026-03-05T12:17:46Z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76d9757-80ae-4c87-b4d7-9ffa7a0710d0_Enabled">
    <vt:lpwstr>true</vt:lpwstr>
  </property>
  <property fmtid="{D5CDD505-2E9C-101B-9397-08002B2CF9AE}" pid="3" name="MSIP_Label_076d9757-80ae-4c87-b4d7-9ffa7a0710d0_SetDate">
    <vt:lpwstr>2026-03-05T12:17:16Z</vt:lpwstr>
  </property>
  <property fmtid="{D5CDD505-2E9C-101B-9397-08002B2CF9AE}" pid="4" name="MSIP_Label_076d9757-80ae-4c87-b4d7-9ffa7a0710d0_Method">
    <vt:lpwstr>Standard</vt:lpwstr>
  </property>
  <property fmtid="{D5CDD505-2E9C-101B-9397-08002B2CF9AE}" pid="5" name="MSIP_Label_076d9757-80ae-4c87-b4d7-9ffa7a0710d0_Name">
    <vt:lpwstr>076d9757-80ae-4c87-b4d7-9ffa7a0710d0</vt:lpwstr>
  </property>
  <property fmtid="{D5CDD505-2E9C-101B-9397-08002B2CF9AE}" pid="6" name="MSIP_Label_076d9757-80ae-4c87-b4d7-9ffa7a0710d0_SiteId">
    <vt:lpwstr>c79e7c80-cff5-4503-b468-3702cea89272</vt:lpwstr>
  </property>
  <property fmtid="{D5CDD505-2E9C-101B-9397-08002B2CF9AE}" pid="7" name="MSIP_Label_076d9757-80ae-4c87-b4d7-9ffa7a0710d0_ActionId">
    <vt:lpwstr>b71e0565-3ba5-43e3-a801-e0c641b29619</vt:lpwstr>
  </property>
  <property fmtid="{D5CDD505-2E9C-101B-9397-08002B2CF9AE}" pid="8" name="MSIP_Label_076d9757-80ae-4c87-b4d7-9ffa7a0710d0_ContentBits">
    <vt:lpwstr>0</vt:lpwstr>
  </property>
  <property fmtid="{D5CDD505-2E9C-101B-9397-08002B2CF9AE}" pid="9" name="Kod_Duvernosti">
    <vt:lpwstr>KB_C1_INTERNAL_992521</vt:lpwstr>
  </property>
  <property fmtid="{D5CDD505-2E9C-101B-9397-08002B2CF9AE}" pid="10" name="ContentTypeId">
    <vt:lpwstr>0x010100E9B21ABB10FC3C409AE69C687E14E6B000D7E14EC6F773E44297C3BD8255B9800100F40B6EDB6894B04A92208BDB5F4547D9</vt:lpwstr>
  </property>
  <property fmtid="{D5CDD505-2E9C-101B-9397-08002B2CF9AE}" pid="11" name="_dlc_DocIdItemGuid">
    <vt:lpwstr>79fc9c13-d984-4026-98e4-466b143443d8</vt:lpwstr>
  </property>
  <property fmtid="{D5CDD505-2E9C-101B-9397-08002B2CF9AE}" pid="12" name="TaxKeyword">
    <vt:lpwstr/>
  </property>
  <property fmtid="{D5CDD505-2E9C-101B-9397-08002B2CF9AE}" pid="13" name="Metodika2">
    <vt:lpwstr>229;#Nezajištěný úvěr MP|3AD3E5B5-A4D1-4325-B82C-EE5507E3EB51;#223;#Nový|F19AD0F6-5B99-4dd9-9B06-A04DCFDF1EC8;#248;#PdÚ|0B2E423D-B551-4c13-8D72-18466DE3D30B;#249;#Rychloúvěr|0ABC712F-6541-492e-85AE-8D74E2FB2396;#226;#Klient|93816C96-C81D-471e-A2C8-B9E95DA19F36;#230;#Neklient|79ACA436-72CA-4729-8215-E77D55EF7269;#224;#občan|CB68B809-060D-4594-8C46-00C267367428;#231;#cizinec|9BA12859-6D7D-4064-B13E-1F5353C495C8;#232;#dospělý|3051CA36-D429-48c8-BDCA-3B286156193C;#233;#nezletilý|89BBA726-E5E8-4661-94DF-E4D2A9399C8E;#225;#OSVČ|62B1DFB1-6C0E-4a8e-8218-BAEFF25292A5;#237;#zaměstnaný|D73A27DE-6B76-4662-8DE3-E6FC223728E4;#238;#ostatní příjmy|FBF886BD-4E9A-4288-B64D-B57BF214E427;#239;#příjmy v ČR|947FDDFE-6FC0-472a-96A3-A084E6B7159D;#240;#příjmy mimo ČR|6CA00B16-C051-426d-94D9-8B4F88B9D8E1;#242;#nad 5.000.000|B3A775E1-12AB-403e-9C94-895A7359CCDA;#241;#do 5.000.000|30D3AD32-BB76-4437-BA1F-9F1BC52C029E;#245;#Výstavba|4E53831B-BFB6-4165-BEE1-8B892574BF83;#243;#Rekonstrukce|B5A14EA0-D370-4653-A8CA-6340DBA141EC;#244;#Koupě|155F5786-9700-4e1d-BAAF-E2D6FC3484C8;#246;#Refinancování|3841753C-AE50-4509-8E8F-BD035CC04ABE;#247;#Jiný|B6BF1F1E-D32A-4870-BE5D-35AEDBE54DAE;#227;#Průběh|830BD2E8-018B-4376-B20F-95AD93CF3D25;#256;#změna účastníka|95A14E91-CCC8-45d0-B628-C304E2D19107;#254;#změna účelu|EAB539B7-FC84-487a-B24A-50EA98707EB1;#255;#změna parametrů|3B22BCF9-B959-4e89-9620-1ACAA593A3DA;#251;#čerpání|B3F3C78F-380F-4b93-999D-DAF9B7ACA51E;#222;#Hypoúvěr|D1E903E7-A5C0-4f9d-B62C-33AC5FD80476;#234;#zajištění ke schválení|F02FA2E0-BDEF-4056-8B65-D8C0586CCE61;#235;#zajištění po čerpání (předhypo)|1BD504C8-8540-4950-BBB2-52B668BFFEDA;#250;#změna zajištění|35978D3A-7C16-48a2-A887-170C3E86E9B0</vt:lpwstr>
  </property>
  <property fmtid="{D5CDD505-2E9C-101B-9397-08002B2CF9AE}" pid="14" name="KategorieProdukty">
    <vt:lpwstr>32;#2 - Financování bydlení|da3d3b07-70fa-4d8f-baf6-5d66fa28704b</vt:lpwstr>
  </property>
  <property fmtid="{D5CDD505-2E9C-101B-9397-08002B2CF9AE}" pid="15" name="KlasifikaceDuvernosti">
    <vt:lpwstr>1;#C1|8f06b5fa-bf75-4f67-b1d4-f86d7b7fe1bd</vt:lpwstr>
  </property>
  <property fmtid="{D5CDD505-2E9C-101B-9397-08002B2CF9AE}" pid="16" name="Produkty">
    <vt:lpwstr>313;#Stavební spoření a úvěry MP|f7dfdb34-debf-4981-9063-691b9bcc122e</vt:lpwstr>
  </property>
  <property fmtid="{D5CDD505-2E9C-101B-9397-08002B2CF9AE}" pid="17" name="Firmy">
    <vt:lpwstr>18;#Modrá pyramida|bacb51b1-3cbd-4ff6-b374-ca201b1de24a</vt:lpwstr>
  </property>
</Properties>
</file>