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REHOVA\Downloads\"/>
    </mc:Choice>
  </mc:AlternateContent>
  <xr:revisionPtr revIDLastSave="0" documentId="13_ncr:1_{CFC1EF4F-C8AB-4F57-B2BF-93440991EE15}" xr6:coauthVersionLast="47" xr6:coauthVersionMax="47" xr10:uidLastSave="{00000000-0000-0000-0000-000000000000}"/>
  <bookViews>
    <workbookView showSheetTabs="0" xWindow="-110" yWindow="-110" windowWidth="19420" windowHeight="11500" xr2:uid="{00000000-000D-0000-FFFF-FFFF00000000}"/>
  </bookViews>
  <sheets>
    <sheet name="vstupni_data" sheetId="10" r:id="rId1"/>
    <sheet name="SS" sheetId="6" state="hidden" r:id="rId2"/>
    <sheet name="HI" sheetId="8" state="hidden" r:id="rId3"/>
    <sheet name="Dan" sheetId="9" state="hidden" r:id="rId4"/>
    <sheet name="cinnosti" sheetId="4" state="hidden" r:id="rId5"/>
    <sheet name="prijmy" sheetId="7" state="hidden" r:id="rId6"/>
    <sheet name="tisk" sheetId="3" state="hidden" r:id="rId7"/>
  </sheets>
  <definedNames>
    <definedName name="_101">vstupni_data!$S$31</definedName>
    <definedName name="_102">vstupni_data!$S$32</definedName>
    <definedName name="_102mod">vstupni_data!$Q$32</definedName>
    <definedName name="_104">vstupni_data!$S$33</definedName>
    <definedName name="_104mod">vstupni_data!$Q$33</definedName>
    <definedName name="_104mol">#REF!</definedName>
    <definedName name="_105">vstupni_data!$S$34</definedName>
    <definedName name="_106">vstupni_data!$S$35</definedName>
    <definedName name="_107">vstupni_data!$S$36</definedName>
    <definedName name="_108">vstupni_data!$S$37</definedName>
    <definedName name="_109">vstupni_data!$S$38</definedName>
    <definedName name="_110">vstupni_data!$S$39</definedName>
    <definedName name="_31">vstupni_data!$S$23</definedName>
    <definedName name="_37">vstupni_data!$S$25</definedName>
    <definedName name="_38">vstupni_data!$S$26</definedName>
    <definedName name="_39">vstupni_data!$S$27</definedName>
    <definedName name="_44">vstupni_data!$S$28</definedName>
    <definedName name="_46">vstupni_data!$S$42</definedName>
    <definedName name="_47">vstupni_data!$S$43</definedName>
    <definedName name="_48">vstupni_data!$S$44</definedName>
    <definedName name="_49">vstupni_data!$S$45</definedName>
    <definedName name="_50">vstupni_data!$S$46</definedName>
    <definedName name="_51">vstupni_data!$S$47</definedName>
    <definedName name="_52">vstupni_data!$S$48</definedName>
    <definedName name="_52a">vstupni_data!$S$49</definedName>
    <definedName name="_53">vstupni_data!$S$50</definedName>
    <definedName name="_64">vstupni_data!$S$53</definedName>
    <definedName name="_65a">vstupni_data!$S$54</definedName>
    <definedName name="_65b">vstupni_data!$S$55</definedName>
    <definedName name="_66">vstupni_data!$S$56</definedName>
    <definedName name="_67">vstupni_data!$S$57</definedName>
    <definedName name="_68">vstupni_data!$S$58</definedName>
    <definedName name="_69">vstupni_data!$S$59</definedName>
    <definedName name="_69a">vstupni_data!$S$60</definedName>
    <definedName name="_69b">vstupni_data!$S$61</definedName>
    <definedName name="_72">vstupni_data!$S$62</definedName>
    <definedName name="_OP1">tisk!$L$105</definedName>
    <definedName name="_OP1_">vstupni_data!$Q$100</definedName>
    <definedName name="_PZP1">tisk!$L$103</definedName>
    <definedName name="_PZP1_">vstupni_data!$Q$98</definedName>
    <definedName name="_PZZ1">tisk!$L$101</definedName>
    <definedName name="_PZZ1_">vstupni_data!$Q$96</definedName>
    <definedName name="prumer">vstupni_data!$S$19</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7" i="10" l="1"/>
  <c r="B82" i="3" s="1"/>
  <c r="B105" i="10"/>
  <c r="F105" i="10" s="1"/>
  <c r="E8" i="6"/>
  <c r="B8" i="6" s="1"/>
  <c r="A12" i="10"/>
  <c r="B11" i="8"/>
  <c r="B65" i="10"/>
  <c r="D5" i="4"/>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4" i="4"/>
  <c r="C33" i="6"/>
  <c r="C34" i="6" s="1"/>
  <c r="C31" i="6"/>
  <c r="C30" i="6" s="1"/>
  <c r="F103" i="10"/>
  <c r="B103" i="10" s="1"/>
  <c r="N8" i="3"/>
  <c r="C10" i="9" a="1"/>
  <c r="C10" i="9" s="1"/>
  <c r="B97" i="3"/>
  <c r="F94" i="3"/>
  <c r="B94" i="3"/>
  <c r="B91" i="3"/>
  <c r="B89" i="3"/>
  <c r="B86" i="3"/>
  <c r="B84" i="3"/>
  <c r="B80" i="3"/>
  <c r="B77" i="3"/>
  <c r="B75" i="3"/>
  <c r="B73" i="3"/>
  <c r="B71" i="3"/>
  <c r="B69" i="3"/>
  <c r="B67" i="3"/>
  <c r="J56" i="3"/>
  <c r="B56" i="3"/>
  <c r="B54" i="3"/>
  <c r="J49" i="3"/>
  <c r="J2" i="3"/>
  <c r="S12" i="10"/>
  <c r="Q12" i="10"/>
  <c r="L97" i="3" s="1"/>
  <c r="B62" i="3"/>
  <c r="C21" i="7"/>
  <c r="C15" i="7"/>
  <c r="C39" i="9"/>
  <c r="C27" i="9"/>
  <c r="C3" i="9"/>
  <c r="C18" i="9" s="1"/>
  <c r="B9" i="8"/>
  <c r="C3" i="7"/>
  <c r="L101" i="3" s="1"/>
  <c r="B16" i="6"/>
  <c r="B6" i="6"/>
  <c r="N5" i="3"/>
  <c r="B107" i="3"/>
  <c r="N47" i="3"/>
  <c r="N46" i="3"/>
  <c r="N45" i="3"/>
  <c r="N44" i="3"/>
  <c r="N43" i="3"/>
  <c r="N42" i="3"/>
  <c r="N41" i="3"/>
  <c r="N40" i="3"/>
  <c r="N39" i="3"/>
  <c r="N38" i="3"/>
  <c r="N35" i="3"/>
  <c r="N34" i="3"/>
  <c r="N33" i="3"/>
  <c r="N32" i="3"/>
  <c r="N31" i="3"/>
  <c r="N30" i="3"/>
  <c r="N29" i="3"/>
  <c r="N28" i="3"/>
  <c r="N27" i="3"/>
  <c r="N24" i="3"/>
  <c r="N23" i="3"/>
  <c r="N22" i="3"/>
  <c r="N21" i="3"/>
  <c r="N20" i="3"/>
  <c r="N19" i="3"/>
  <c r="N18" i="3"/>
  <c r="M18" i="3"/>
  <c r="N17" i="3"/>
  <c r="M17" i="3"/>
  <c r="N16" i="3"/>
  <c r="N13" i="3"/>
  <c r="N12" i="3"/>
  <c r="N11" i="3"/>
  <c r="N10" i="3"/>
  <c r="Q32" i="10" l="1"/>
  <c r="Q33" i="10"/>
  <c r="B59" i="3"/>
  <c r="C4" i="9"/>
  <c r="C5" i="9" s="1"/>
  <c r="E6" i="8"/>
  <c r="B6" i="8" s="1"/>
  <c r="B13" i="8" s="1"/>
  <c r="B15" i="8" s="1"/>
  <c r="C7" i="9"/>
  <c r="C43" i="9" s="1"/>
  <c r="B65" i="3"/>
  <c r="N97" i="3"/>
  <c r="Q96" i="10"/>
  <c r="C47" i="9"/>
  <c r="C35" i="9" s="1"/>
  <c r="F62" i="3"/>
  <c r="F59" i="3"/>
  <c r="B10" i="6" l="1"/>
  <c r="B12" i="6" s="1"/>
  <c r="C40" i="9"/>
  <c r="C28" i="9" s="1"/>
  <c r="C29" i="9" s="1"/>
  <c r="C31" i="9" s="1"/>
  <c r="C32" i="9" s="1"/>
  <c r="C34" i="9" s="1"/>
  <c r="C36" i="9" s="1"/>
  <c r="C16" i="7" s="1"/>
  <c r="C17" i="7" s="1"/>
  <c r="C8" i="9"/>
  <c r="C11" i="9" s="1"/>
  <c r="L17" i="3"/>
  <c r="L18" i="3"/>
  <c r="B17" i="8"/>
  <c r="B19" i="8" s="1"/>
  <c r="B21" i="8" s="1"/>
  <c r="C9" i="7" s="1"/>
  <c r="B14" i="6" l="1"/>
  <c r="B18" i="6" s="1"/>
  <c r="B20" i="6" s="1"/>
  <c r="B22" i="6" s="1"/>
  <c r="C8" i="7" s="1"/>
  <c r="C7" i="7"/>
  <c r="C41" i="9"/>
  <c r="C44" i="9" s="1"/>
  <c r="C46" i="9" s="1"/>
  <c r="C12" i="9"/>
  <c r="C13" i="9"/>
  <c r="C14" i="9" l="1"/>
  <c r="C16" i="9"/>
  <c r="C17" i="9" l="1"/>
  <c r="C19" i="9" s="1"/>
  <c r="C10" i="7" s="1"/>
  <c r="C11" i="7" s="1"/>
  <c r="Q98" i="10" s="1"/>
  <c r="C48" i="9" l="1"/>
  <c r="C22" i="7" s="1"/>
  <c r="C23" i="7" s="1"/>
  <c r="Q100" i="10" s="1"/>
  <c r="S96" i="10" s="1"/>
  <c r="L103" i="3"/>
  <c r="L105" i="3" l="1"/>
  <c r="N101" i="3" s="1"/>
  <c r="S101" i="10"/>
  <c r="S98" i="10"/>
  <c r="N103" i="3" l="1"/>
  <c r="S100" i="10"/>
  <c r="N1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Holub Miroslav</author>
    <author>Uživatel Microsoft Office</author>
  </authors>
  <commentList>
    <comment ref="S23" authorId="0" shapeId="0" xr:uid="{8E1ECACB-3937-42EF-9E3D-0A6EF872AE91}">
      <text>
        <r>
          <rPr>
            <b/>
            <sz val="9"/>
            <color indexed="81"/>
            <rFont val="Tahoma"/>
            <family val="2"/>
            <charset val="238"/>
          </rPr>
          <t>Řádek 31</t>
        </r>
        <r>
          <rPr>
            <sz val="9"/>
            <color indexed="81"/>
            <rFont val="Tahoma"/>
            <family val="2"/>
            <charset val="238"/>
          </rPr>
          <t xml:space="preserve">
Napište svou hrubou roční mzdu. Údaje najdete na potvrzení ze mzdové účtárny. Pokud jste během roku změnili práci, požádejte o potvrzení i předchozího zaměstnavatele.</t>
        </r>
      </text>
    </comment>
    <comment ref="S25" authorId="0" shapeId="0" xr:uid="{7006879B-5270-401C-A045-86E9AAF590F2}">
      <text>
        <r>
          <rPr>
            <b/>
            <sz val="9"/>
            <color indexed="81"/>
            <rFont val="Tahoma"/>
            <family val="2"/>
            <charset val="238"/>
          </rPr>
          <t xml:space="preserve">Řádek 37
</t>
        </r>
        <r>
          <rPr>
            <sz val="9"/>
            <color indexed="81"/>
            <rFont val="Tahoma"/>
            <family val="2"/>
            <charset val="238"/>
          </rPr>
          <t>Sem se přenáší dílčí základ daně z podnikání a jiné samostatně výdělečné činnosti (k tomu slouží zvláštní příloha č.1.). Pokud nemáte žádné příjmy z podnikání kolonku ani žádnou přílohu nevyplňujte. Hodnota je buď kladná (zisk), nebo záporná (ztráta).</t>
        </r>
      </text>
    </comment>
    <comment ref="S27" authorId="0" shapeId="0" xr:uid="{3DE3A8CB-A226-4F23-A8B9-B0E5C1D6F83F}">
      <text>
        <r>
          <rPr>
            <b/>
            <sz val="9"/>
            <color indexed="81"/>
            <rFont val="Tahoma"/>
            <family val="2"/>
            <charset val="238"/>
          </rPr>
          <t xml:space="preserve">Řádek 39
</t>
        </r>
        <r>
          <rPr>
            <sz val="9"/>
            <color indexed="81"/>
            <rFont val="Tahoma"/>
            <family val="2"/>
            <charset val="238"/>
          </rPr>
          <t xml:space="preserve">viz příloha 2
</t>
        </r>
      </text>
    </comment>
    <comment ref="B38" authorId="1" shapeId="0" xr:uid="{00000000-0006-0000-0000-000001000000}">
      <text>
        <r>
          <rPr>
            <b/>
            <sz val="10"/>
            <color indexed="81"/>
            <rFont val="Calibri"/>
            <family val="2"/>
            <charset val="238"/>
          </rPr>
          <t>Údaje z DP se do tohoto pole zadávají pouze v případě, pokud osoba, která přerozděluje část příjmů nebo zisk je společně s žadatelem v aktivním obchodě.</t>
        </r>
      </text>
    </comment>
    <comment ref="B39" authorId="1" shapeId="0" xr:uid="{00000000-0006-0000-0000-000002000000}">
      <text>
        <r>
          <rPr>
            <b/>
            <sz val="10"/>
            <color indexed="81"/>
            <rFont val="Calibri"/>
            <family val="2"/>
            <charset val="238"/>
          </rPr>
          <t>Údaje z DP se do tohoto pole zadávají pouze v případě, pokud osoba, která přerozděluje část výdajů nebo ztrátu je společně s žadatelem v aktivním obchodě.</t>
        </r>
      </text>
    </comment>
    <comment ref="S42" authorId="0" shapeId="0" xr:uid="{53345A89-C73E-46EB-92BF-49AD3AE0273E}">
      <text>
        <r>
          <rPr>
            <b/>
            <sz val="9"/>
            <color indexed="81"/>
            <rFont val="Tahoma"/>
            <family val="2"/>
            <charset val="238"/>
          </rPr>
          <t xml:space="preserve">Hodnota daňově uznatelných darů
</t>
        </r>
        <r>
          <rPr>
            <sz val="9"/>
            <color indexed="81"/>
            <rFont val="Tahoma"/>
            <family val="2"/>
            <charset val="238"/>
          </rPr>
          <t>Vypočítává je § 15 odst. 1 zákona o daních z příjmů. Sem patří i dárcovství krve.
Úhrnná hodnota darů ve zdaňovacím období musí přesáhnout 2 % ze základu daně ř. 42 anebo činit alespoň 1 000 Kč.
Max. lze odečíst 15 % ze základu daně.</t>
        </r>
      </text>
    </comment>
    <comment ref="S43" authorId="0" shapeId="0" xr:uid="{DEDFDFEF-5389-45CD-B536-927DFEB6DB89}">
      <text>
        <r>
          <rPr>
            <b/>
            <sz val="9"/>
            <color indexed="81"/>
            <rFont val="Tahoma"/>
            <family val="2"/>
            <charset val="238"/>
          </rPr>
          <t xml:space="preserve">Úroky
</t>
        </r>
        <r>
          <rPr>
            <sz val="9"/>
            <color indexed="81"/>
            <rFont val="Tahoma"/>
            <family val="2"/>
            <charset val="238"/>
          </rPr>
          <t>Sem uveďte odpočet úroků z úvěru ze stavebního spoření nebo hypotečního úvěru, maximálně 300 000 ročně, resp. 25 000 měsíčně.</t>
        </r>
      </text>
    </comment>
    <comment ref="S44" authorId="0" shapeId="0" xr:uid="{8CEBAF9C-BAAD-47FD-8B65-A18693158044}">
      <text>
        <r>
          <rPr>
            <b/>
            <sz val="9"/>
            <color indexed="81"/>
            <rFont val="Tahoma"/>
            <family val="2"/>
            <charset val="238"/>
          </rPr>
          <t xml:space="preserve">Penzijní připojištění
</t>
        </r>
        <r>
          <rPr>
            <sz val="9"/>
            <color indexed="81"/>
            <rFont val="Tahoma"/>
            <family val="2"/>
            <charset val="238"/>
          </rPr>
          <t xml:space="preserve">Tento řádek obsahuje odpočet plateb příspěvků na penzijní připojištění se státním příspěvkem, maximálně 24 000 Kč.
</t>
        </r>
      </text>
    </comment>
    <comment ref="S45" authorId="0" shapeId="0" xr:uid="{650AEA22-6ADC-4BFB-9448-B12B988ACDAD}">
      <text>
        <r>
          <rPr>
            <b/>
            <sz val="9"/>
            <color indexed="81"/>
            <rFont val="Tahoma"/>
            <family val="2"/>
            <charset val="238"/>
          </rPr>
          <t xml:space="preserve">Životní pojištění
</t>
        </r>
        <r>
          <rPr>
            <sz val="9"/>
            <color indexed="81"/>
            <rFont val="Tahoma"/>
            <family val="2"/>
            <charset val="238"/>
          </rPr>
          <t>Tento řádek obsahuje odpočet plateb na soukromé životní pojištění, maximálně 24 000 Kč.</t>
        </r>
      </text>
    </comment>
    <comment ref="S46" authorId="0" shapeId="0" xr:uid="{B7B9151E-646A-4C41-A162-EB5975E7E337}">
      <text>
        <r>
          <rPr>
            <b/>
            <sz val="9"/>
            <color indexed="81"/>
            <rFont val="Tahoma"/>
            <family val="2"/>
            <charset val="238"/>
          </rPr>
          <t xml:space="preserve">Odborové příspěvky
</t>
        </r>
        <r>
          <rPr>
            <sz val="9"/>
            <color indexed="81"/>
            <rFont val="Tahoma"/>
            <family val="2"/>
            <charset val="238"/>
          </rPr>
          <t>Tento řádek obsahuje odpočet členských příspěvků zaplacených odborové organizaci.
Odečíst lze až 1,5 procenta zdanitelných příjmů (tedy řádek 31 x 0,015), maximálně 3 000 Kč.</t>
        </r>
      </text>
    </comment>
    <comment ref="S47" authorId="0" shapeId="0" xr:uid="{D80FC625-68EA-419D-85D8-951F1AE8D593}">
      <text>
        <r>
          <rPr>
            <b/>
            <sz val="9"/>
            <color indexed="81"/>
            <rFont val="Tahoma"/>
            <family val="2"/>
            <charset val="238"/>
          </rPr>
          <t xml:space="preserve">Úhrada za další vzdělání
</t>
        </r>
        <r>
          <rPr>
            <sz val="9"/>
            <color indexed="81"/>
            <rFont val="Tahoma"/>
            <family val="2"/>
            <charset val="238"/>
          </rPr>
          <t>Uveďte uplatňovanou výši úhrady za zkoušky ověřující výsledky dalšího vzdělávání podle zákona č. 179/2006 Sb., max. však do výše 10 000 Kč (u poplatníka se zdravotním postižením max. 13 000 Kč a s těžším zdravotním postižením max 15 000 Kč)</t>
        </r>
        <r>
          <rPr>
            <b/>
            <sz val="9"/>
            <color indexed="81"/>
            <rFont val="Tahoma"/>
            <family val="2"/>
            <charset val="238"/>
          </rPr>
          <t xml:space="preserve">
</t>
        </r>
      </text>
    </comment>
    <comment ref="S48" authorId="0" shapeId="0" xr:uid="{51B0E605-A931-4CE0-8153-5CFE8CB6FFB7}">
      <text>
        <r>
          <rPr>
            <b/>
            <sz val="9"/>
            <color indexed="81"/>
            <rFont val="Tahoma"/>
            <family val="2"/>
            <charset val="238"/>
          </rPr>
          <t xml:space="preserve">Výzkum a vývoj
</t>
        </r>
        <r>
          <rPr>
            <sz val="9"/>
            <color indexed="81"/>
            <rFont val="Tahoma"/>
            <family val="2"/>
            <charset val="238"/>
          </rPr>
          <t>Podnikatelé zde mohou odečíst náklady na výzkum a vývoj.</t>
        </r>
      </text>
    </comment>
    <comment ref="S49" authorId="0" shapeId="0" xr:uid="{FED1C2EF-A972-4684-8AB6-503E67A2ACD0}">
      <text>
        <r>
          <rPr>
            <b/>
            <sz val="9"/>
            <color indexed="81"/>
            <rFont val="Tahoma"/>
            <family val="2"/>
            <charset val="238"/>
          </rPr>
          <t>Podpora odborného vzdělávání</t>
        </r>
        <r>
          <rPr>
            <sz val="9"/>
            <color indexed="81"/>
            <rFont val="Tahoma"/>
            <family val="2"/>
            <charset val="238"/>
          </rPr>
          <t xml:space="preserve">
Uveďte uplatňovanou výši výdajů na podporu odborného vzdělávání.</t>
        </r>
      </text>
    </comment>
    <comment ref="S50" authorId="0" shapeId="0" xr:uid="{0452DE14-B098-4457-9408-9CEA86C6EFD0}">
      <text>
        <r>
          <rPr>
            <sz val="9"/>
            <color indexed="81"/>
            <rFont val="Tahoma"/>
            <family val="2"/>
            <charset val="238"/>
          </rPr>
          <t>Týká se jen podnikatelů, zaměstnanci zde nebudou mít uvedeno nic. Objeví se zde ty odečitatelné položky, které se nevešly do řádků 46 až 52a), týkající se vypořádání majetkových nároků z minulosti.</t>
        </r>
      </text>
    </comment>
    <comment ref="B65" authorId="1" shapeId="0" xr:uid="{00000000-0006-0000-0000-000003000000}">
      <text>
        <r>
          <rPr>
            <b/>
            <sz val="10"/>
            <color indexed="81"/>
            <rFont val="Calibri"/>
            <family val="2"/>
            <charset val="238"/>
          </rPr>
          <t>Takový zaměstnanec, který odvádí nemocenské, respektive důchodové pojištění a jehož čistý měsíční příjem je vyšší než 4000 Kč.</t>
        </r>
      </text>
    </comment>
    <comment ref="B67" authorId="1" shapeId="0" xr:uid="{00000000-0006-0000-0000-000008000000}">
      <text>
        <r>
          <rPr>
            <b/>
            <sz val="10"/>
            <color indexed="81"/>
            <rFont val="Calibri"/>
            <family val="2"/>
            <charset val="238"/>
          </rPr>
          <t>Osoby, které jsou příjemci dávek nemocenského pojištění (s trvalým pobytem na území ČR, pokud nejsou zaměstnanci nebo OSVČ a není za ně plátcem pojistného stát).</t>
        </r>
      </text>
    </comment>
    <comment ref="B70" authorId="1" shapeId="0" xr:uid="{00000000-0006-0000-0000-000004000000}">
      <text>
        <r>
          <rPr>
            <b/>
            <sz val="10"/>
            <color indexed="81"/>
            <rFont val="Calibri"/>
            <family val="2"/>
            <charset val="238"/>
          </rPr>
          <t>Osoby, které jsou plně invalidní nebo které dosáhly věku potřebného pro nárok na starobní důchod.</t>
        </r>
      </text>
    </comment>
    <comment ref="B76" authorId="1" shapeId="0" xr:uid="{00000000-0006-0000-0000-000005000000}">
      <text>
        <r>
          <rPr>
            <b/>
            <sz val="10"/>
            <color indexed="81"/>
            <rFont val="Calibri"/>
            <family val="2"/>
            <charset val="238"/>
          </rPr>
          <t>Osoby pečující o osoby závislé na péči jiné osoby ve stupni II, III anebo stupni IV, příp. stupni I, pokud se jedná o dítě do 10 let věku.</t>
        </r>
      </text>
    </comment>
    <comment ref="B78" authorId="1" shapeId="0" xr:uid="{00000000-0006-0000-0000-000006000000}">
      <text>
        <r>
          <rPr>
            <b/>
            <sz val="10"/>
            <color indexed="81"/>
            <rFont val="Calibri"/>
            <family val="2"/>
            <charset val="238"/>
          </rPr>
          <t>Za nezaopatřené dítě dle zákona č. 117/1995 Sb., o státní sociální podpoře se považuje dítě do skončení povinné školní docházky, a poté, nejdéle však do 26. roku věku, jestliže:
a) se soustavně připravuje na budoucí povolání (§ 12 až 15), nebo
b) se nemůže soustavně připravovat na budoucí povolání nebo vykonávat výdělečnou činnost pro nemoc nebo úraz, anebo
c) z důvodu dlouhodobě nepříznivého zdravotního stavu je neschopno vykonávat soustavnou výdělečnou činnost. Posuzování zdravotního stavu pro účely tohoto zákona upravuje zákon upravující organizaci a provádění sociálního zabezpečení (§ 8 zákona č. 582/1991 Sb., ve znění pozdějších předpisů.)
Po skončení povinné školní docházky se do 18. roku věku považuje za nezaopatřené dítě také dítě, které je vedeno v evidenci krajské pobočky Úřadu práce jako uchazeč o zaměstnání a nemá nárok na podporu v nezaměstnanosti nebo podporu při rekvalifikaci.
Za nezaopatřené dítě nelze však považovat dítě, které je poživatelem invalidního důchodu z důchodového pojištění pro invaliditu třetího stupně.</t>
        </r>
      </text>
    </comment>
    <comment ref="B80" authorId="1" shapeId="0" xr:uid="{00000000-0006-0000-0000-000007000000}">
      <text>
        <r>
          <rPr>
            <b/>
            <sz val="9"/>
            <color indexed="81"/>
            <rFont val="Calibri"/>
            <family val="2"/>
            <charset val="238"/>
          </rPr>
          <t>Stát je plátcem pojistného prostřednictvím státního rozpočtu za tyto pojištěnce:
a) nezaopatřené děti; nezaopatřenost dítěte se posuzuje podle zákona o státní sociální podpoře
b) poživatele důchodů z důchodového pojištění, kterým byl přiznán důchod před 1. lednem 1993 podle předpisů České a Slovenské Federativní Republiky a po 31. prosinci 1992 podle předpisů České republiky. Za poživatele důchodu se pro účely tohoto zákona považuje osoba podle předchozí věty i v měsících, kdy jí podle předpisů o důchodovém pojištění výplata důchodu nenáleží;
c) příjemce rodičovského příspěvku
d) ženy na mateřské a osoby na rodičovské dovolené a osoby pobírající peněžitou pomoc v mateřství podle předpisů o nemocenském pojištění
e) uchazeče o zaměstnání včetně uchazečů o zaměstnání, kteří přijali krátkodobé zaměstnání
f) osoby pobírající dávku pomoci v hmotné nouzi a osoby s nimi společně posuzované, a to za podmínky, že nejsou podle potvrzení plátce dávky pomoci v hmotné nouzi v pracovním ani obdobném vztahu ani nevykonávají samostatnou výdělečnou činnost, nejsou v evidenci uchazečů o zaměstnání a nejde o poživatele starobního důchodu, invalidního důchodu pro invaliditu třetího stupně, vdovského nebo vdoveckého důchodu, ani o poživatele rodičovského příspěvku nebo o nezaopatřené dítě,
g) osoby, které jsou závislé na péči jiné osoby ve stupni II (středně těžká závislost) nebo stupni III (těžká závislost) anebo stupni IV (úplná závislost)11), a osoby pečující o tyto osoby, a osoby pečující o osoby mladší 10 let, které jsou závislé na péči jiné osoby ve stupni I (lehká závislost),
h) osoby ve výkonu zabezpečovací detence nebo vazby nebo osoby ve výkonu trestu odnětí svobody;
i) osoby uvedené v § 5 písm. c), které jsou příjemci dávek nemocenského pojištění 
j) osoby, které jsou invalidní ve třetím stupni nebo které dosáhly věku potřebného pro nárok na starobní důchod, avšak nesplňují další podmínky pro přiznání invalidního důchodu pro invaliditu třetího stupně nebo starobního důchodu a nemají příjmy ze zaměstnání, ze samostatné výdělečné činnosti a nepožívají žádný důchod z ciziny, nebo tento důchod nepřesahuje měsíčně částku ve výši minimální mzdy 
k) osoby celodenně osobně a řádně pečující alespoň o jedno dítě do sedmi let věku nebo nejméně o dvě děti do 15 let věku, nejde-li o osoby uvedené v písmenu c) nebo d). Podmínka celodenní péče se považuje za splněnou i tehdy, je-li dítě předškolního věku umístěno v jeslích (mateřské škole), popřípadě v obdobném zařízení na dobu, která nepřevyšuje čtyři hodiny denně, a jde-li o dítě plnící povinnou školní docházku, po dobu návštěvy školy, s výjimkou umístění v zařízení s týdenním či celoročním pobytem. Za takové osoby se považuje vždy pouze jedna osoba, a to buď otec nebo matka dítěte, nebo osoba, která převzala dítě do trvalé péče nahrazující péči rodičů, pokud nemají příjmy ze zaměstnání nebo ze samostatné výdělečné činnosti,
l) mladistvé umístěné ve školských zařízeních pro výkon ústavní výchovy a ochranné výchovy,
m) osoby vykonávající dlouhodobou dobrovolnickou službu na základě smlouvy s vysílající organizací, které byla udělena akreditace Ministerstvem vnitra, v rozsahu překračujícím v průměru alespoň 20 hodin v kalendářním týdnu, pokud není dobrovolník plátcem pojistného podle § 5 nebo za něj není plátcem pojistného stát podle předchozích písmen a) až l),
n) manželé nebo registrovaní partneři státních zaměstnanců podle zákona o státní službě nebo jiných zaměstnanců v organizačních složkách státu, pokud je následují do místa jejich vyslání k výkonu práce v zahraničí nebo k výkonu zahraniční služby se souhlasem této organizační složky státu, a nejsou zaměstnanci nebo osobami samostatně výdělečně činnými podle § 5 nebo nejsou osobami vykonávajícími obdobné činnosti podle práva cizího státu, do kterého byli jejich manželé nebo registrovaní partneři vysláni k výkonu práce v zahraničí nebo k výkonu zahraniční služby, 
o) cizince, kterým bylo uděleno oprávnění k pobytu na území České republiky za účelem poskytnutí dočasné ochrany podle zvláštního právního předpisu, pokud nemají příjmy ze zaměstnání nebo ze samostatné výdělečné činnosti,
p) žadatele o udělení mezinárodní ochrany a jeho dítě narozené na území České republiky, cizince, jemuž bylo vydáno potvrzení o strpění pobytu na území České republiky, a jeho dítě narozené na území České republiky, pokud nemají příjmy ze zaměstnání nebo ze samostatné výdělečné činnosti, 
q) příjemci starobní penze na určenou dobu, doživotní penze nebo penze na přesně stanovenou dobu s přesně stanovenou výší důchodu podle zákona upravujícího doplňkové penzijní spoření do dosažení věku potřebného pro vznik nároku na starobní důchod podle § 32 zákona o důchodovém pojištění, pokud jsou splněny podmínky stanovené v § 22 odst. 4 nebo § 23 odst. 6 zákona č. 427/2011 Sb., o doplňkovém penzijním spoření; při stanovení tohoto věku u žen se postupuje stejně jako u mužů stejného data narození.
Mají-li osoby uvedené výše písm. a) až i) a q) příjmy ze zaměstnání nebo ze samostatné výdělečné činnosti, je plátcem pojistného stát i tyto osoby.</t>
        </r>
      </text>
    </comment>
    <comment ref="B85" authorId="1" shapeId="0" xr:uid="{00000000-0006-0000-0000-000009000000}">
      <text>
        <r>
          <rPr>
            <b/>
            <sz val="10"/>
            <color indexed="81"/>
            <rFont val="Calibri"/>
            <family val="2"/>
            <charset val="238"/>
          </rPr>
          <t>Osoby, které jsou závislé na péči jiné osoby ve stupni II (středně těžká závislost) nebo stupni III (těžká závislost) nebo stupni IV (úplná závislost), a osoby pečující o tyto osoby, a osoby pečující o osoby mladší 10 let, které jsou závislé na péči jiné osoby ve stupni 1 (lehká závislost).</t>
        </r>
      </text>
    </comment>
    <comment ref="B87" authorId="1" shapeId="0" xr:uid="{00000000-0006-0000-0000-00000A000000}">
      <text>
        <r>
          <rPr>
            <b/>
            <sz val="10"/>
            <color indexed="81"/>
            <rFont val="Calibri"/>
            <family val="2"/>
            <charset val="238"/>
          </rPr>
          <t>Osoby, které jsou plně invalidní nebo které dosáhly věku potřebného pro nárok na starobní důchod, avšak nesplňují další podmínky pro přiznání plného invalidního nebo starobního důchodu a nemají příjmy ze zaměstnání, ze samostatné výdělečné činnosti a nepožívají žádný důchod z ciziny, nebo tento důchod nepřesahuje měsíčně částku ve výši minimální mzdy.</t>
        </r>
      </text>
    </comment>
    <comment ref="B90" authorId="1" shapeId="0" xr:uid="{00000000-0006-0000-0000-00000B000000}">
      <text>
        <r>
          <rPr>
            <b/>
            <sz val="9"/>
            <color indexed="81"/>
            <rFont val="Calibri"/>
            <family val="2"/>
            <charset val="238"/>
          </rPr>
          <t>Osoby celodenně osobně a řádně pečující alespoň o jedno dítě do sedmi let věku nebo nejméně o dvě děti do 15 let věku. Podmínka celodenní péče se považuje za splněnou i tehdy, je-li dítě předškolního věku umístěno v jeslích (mateřské škole), popřípadě v obdobném zařízení na dobu, která nepřevyšuje čtyři hodiny denně, a jde-li o dítě plnící povinnou školní docházku, po dobu návštěvy školy, s výjimkou umístění v zařízení s týdenním či celoročním pobytem. Za takové osoby se považuje vždy pouze jedna osoba, a to buď otec nebo matka dítěte, nebo osoba, která převzala dítě do trvalé péče nahrazující péči rodičů, pokud nemají příjmy ze zaměstnání nebo ze samostatné výdělečné činnosti.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tc={8A499C68-50A8-4BCB-89BD-F8E24451DAF9}</author>
  </authors>
  <commentList>
    <comment ref="B1" authorId="0" shapeId="0" xr:uid="{00000000-0006-0000-0600-000001000000}">
      <text>
        <t>[Komentář ve vlákně]
Vaše verze aplikace Excel vám umožňuje číst tento komentář ve vlákně, ale jakékoli jeho úpravy se odeberou, pokud se soubor otevře v novější verzi aplikace Excel. Další informace: https://go.microsoft.com/fwlink/?linkid=870924
Komentář:
    Zobrazené paušály v comboboxu !vstupni_data"B18"</t>
      </text>
    </comment>
  </commentList>
</comments>
</file>

<file path=xl/sharedStrings.xml><?xml version="1.0" encoding="utf-8"?>
<sst xmlns="http://schemas.openxmlformats.org/spreadsheetml/2006/main" count="302" uniqueCount="195">
  <si>
    <t>KBI ID</t>
  </si>
  <si>
    <t>Příjmení</t>
  </si>
  <si>
    <t>Jméno</t>
  </si>
  <si>
    <t>Uplatňuje výdaje paušálem?</t>
  </si>
  <si>
    <t>x</t>
  </si>
  <si>
    <t>Pokud ANO vyberte "x"; pokud NE, tak nechte políčko prázdné</t>
  </si>
  <si>
    <t>Pokud požadujete modifikaci výdajů  paušálem, pak vyberte jednu možnost ze seznamu.</t>
  </si>
  <si>
    <t>původní</t>
  </si>
  <si>
    <t>modifikovaná</t>
  </si>
  <si>
    <t>69 - Právní a účetnické činnosti</t>
  </si>
  <si>
    <t>Zadáváte daňové přiznání za rok 2018? (pouze tehdy zaškrtněte ANO)</t>
  </si>
  <si>
    <t>Průměrný čistý měsíční příjem (min. za poslední 3 měsíce) podle "Potvrzení o výši pracovního příjmu"</t>
  </si>
  <si>
    <t>2. ODDÍL - Dílčí základ daně, základ daně, ztráta</t>
  </si>
  <si>
    <t>Úhrn příjmů od všech zaměstnavatelů</t>
  </si>
  <si>
    <t>Dílčí základ daně nebo ztráta ze samostatné činnosti podle §7 zákona (ř. 113 přílohy č. 1 DAP)</t>
  </si>
  <si>
    <t>Dílčí základ daně z kapitálového majetku podle § 8 zákona</t>
  </si>
  <si>
    <t>Dílčí základ daně nebo ztráta z nájmu podle § 9 zákona (ř. 206 přílohy č. 2 DAP)</t>
  </si>
  <si>
    <t>Uplatňovaná výše ztráty - vzniklé a vyměřené za předcházející zdaňovací období</t>
  </si>
  <si>
    <t>PŘÍLOHA č. 1 - DAP</t>
  </si>
  <si>
    <t>Příjmy podle § 7 zákona</t>
  </si>
  <si>
    <t>Výdaje související s příjmy podle § 7 zákona</t>
  </si>
  <si>
    <t>Rozdíl mezi příjmy a výdaji nebo výsledek hospodaření (zisk, ztráta)</t>
  </si>
  <si>
    <t>Úhrn částek podle § 5, § 23 zákona a ostatní úpravy podle zákona zvyšující
- uveďte úhrn částek zvyšujících výsledek hospodaření nebo rozdíl mezi příjmy a výdaji.</t>
  </si>
  <si>
    <t>Úhrn částek podle § 5, § 23 zákona a ostatní úpravy podle zákona snižující
- uveďte úhrn částek snižujících výsledek hospodaření nebo rozdíl mezi příjmy a výdaji.</t>
  </si>
  <si>
    <t>Část příjmů nebo výsledku hospodaření před zdaněním (zisk), kterou rozdělujete na spolupracující osobu (osoby) podle § 13 zákona, ,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</si>
  <si>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</si>
  <si>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</si>
  <si>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</si>
  <si>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3. ODDÍL - Nezdanitelné části základu daně, odčitatelné položky a daň celkem</t>
  </si>
  <si>
    <t>Odst. 1 zákona (hodnota bezúplatného plnění - daru/darů)</t>
  </si>
  <si>
    <t>Odst. 3 a 4 zákona (odečet úroků)</t>
  </si>
  <si>
    <t>Odst. 5 zákona (penzijní připojištění, penzijní pojištění a doplňkové penzijní spoření)</t>
  </si>
  <si>
    <t>Odst. 6 zákona (životní pojištění)</t>
  </si>
  <si>
    <t>Odst. 7 zákona (odborové příspěvky)</t>
  </si>
  <si>
    <t>Odst. 8 zákona (úhrada za další vzdělávání)</t>
  </si>
  <si>
    <t>§34 odst. 4 zákona (výzkum a vývoj)</t>
  </si>
  <si>
    <t>52a)</t>
  </si>
  <si>
    <t>§34 odst. 4 zákona (odpočet na podporu odborného vzdělávání)</t>
  </si>
  <si>
    <t>Další částky</t>
  </si>
  <si>
    <t xml:space="preserve">5. ODDÍL - Uplatnění slev na dani a daňového zvýhodnění </t>
  </si>
  <si>
    <t>písm. a) zákona (základní sleva na poplatníka)</t>
  </si>
  <si>
    <t>65a)</t>
  </si>
  <si>
    <t>písm. b) zákona (sleva na manželku/manžela)</t>
  </si>
  <si>
    <t>65b)</t>
  </si>
  <si>
    <t>písm. b) zákona (sleva na manželku/manžela, která/který je držitelem ZTP/P)</t>
  </si>
  <si>
    <t>písm. c) zákona (základní sleva na invaliditu - pro poživatele invalidního důchodu pro invaliditu prvního nebo druhého stupně)</t>
  </si>
  <si>
    <t>písm. d) zákona (rozšířená sleva na invaliditu - pro poživatele invalidního důchodu pro invaliditu třetího stupně)</t>
  </si>
  <si>
    <t>písm. e) zákona (sleva na držitele průkazu ZTP/P)</t>
  </si>
  <si>
    <t>písm. f) zákona (sleva na studenta)</t>
  </si>
  <si>
    <t>69a)</t>
  </si>
  <si>
    <t>písm. g) zákona (sleva na umístění dítěte)</t>
  </si>
  <si>
    <t>69b)</t>
  </si>
  <si>
    <t>písm. h) zákona (sleva na evidenci tržeb)</t>
  </si>
  <si>
    <t>Daňové zvýhodnění na vyživované dítě</t>
  </si>
  <si>
    <t>je zaměstnanec (zakládající limit na nemocenském resp. důchodovém pojištění)</t>
  </si>
  <si>
    <t>Vyberte "x" pokud je dané tvrzení pravdivé, jinak nechte políčko prázdné</t>
  </si>
  <si>
    <t>je důchodce invalidní nebo starobní</t>
  </si>
  <si>
    <t>pobírá rodičovský příspěvek</t>
  </si>
  <si>
    <t>pobírá peněžitou pomoc v mateřství</t>
  </si>
  <si>
    <t>pečuje o zdravotně postiženou osobu mladší 10 let</t>
  </si>
  <si>
    <t>vykonává vojenskou službu pokud se nejedná o vojáka z povolání</t>
  </si>
  <si>
    <t>je nezaopatřeným dítětem (maximálně do 26 roku věku)</t>
  </si>
  <si>
    <t>plátcem zdravotního pojistného za klienta byl stát (student, důchodce, ostatní viz komentář)</t>
  </si>
  <si>
    <t>pobíral celý rok nemocenské</t>
  </si>
  <si>
    <t>je osobou s těžkým tělesným, smyslovým nebo mentálním postižením, které se poskytují mimořádné výhody II.</t>
  </si>
  <si>
    <t>nebo III. stupně podle předpisů o sociálním zabezpečení</t>
  </si>
  <si>
    <t>dosáhl věku potřebného pro nárok na starobní důchod, avšak nesplnil další podmínky pro jeho přiznání</t>
  </si>
  <si>
    <t>celodenně osobně a řádně pečoval(a) alespoň o jedno dítě do 7 let nebo nejméně o dvě děti do 15 let věku</t>
  </si>
  <si>
    <t>Zadejte  do systému:</t>
  </si>
  <si>
    <t>Příjmy ze zaměstnání</t>
  </si>
  <si>
    <t>skutečná hodnota</t>
  </si>
  <si>
    <t>hodnota pro zadání</t>
  </si>
  <si>
    <t>Průměrný čistý měsíční příjem (min. za poslední 3 měsíce)</t>
  </si>
  <si>
    <t>Příjmy z podnikání</t>
  </si>
  <si>
    <t>Příjmy z podnikatelské činnosti - roční čistý příjem z daňového přiznání</t>
  </si>
  <si>
    <t>Ostatní příjmy</t>
  </si>
  <si>
    <t>Průměrný měsíční příjem z pronájmu nemovitostí</t>
  </si>
  <si>
    <t>Je klient osoba bez zdanitelných příjmů?</t>
  </si>
  <si>
    <t>ANO</t>
  </si>
  <si>
    <t>NE</t>
  </si>
  <si>
    <t>Je klient osoba samostatně výdělečně činná (OSVČ)?</t>
  </si>
  <si>
    <t>řádek 37 DP</t>
  </si>
  <si>
    <t>vedlejší</t>
  </si>
  <si>
    <t>rozhodná částka</t>
  </si>
  <si>
    <t>minimální vyměřovací základ</t>
  </si>
  <si>
    <t>hlavní</t>
  </si>
  <si>
    <t>maximální vyměřovací základ</t>
  </si>
  <si>
    <t>řádek 31 DP</t>
  </si>
  <si>
    <t>PŘÍJMY ZE ZÁVISLÉ ČINNOSTI</t>
  </si>
  <si>
    <t>příjmy ze závislé činnosti (průměrné měsíční)</t>
  </si>
  <si>
    <t>OSVČ</t>
  </si>
  <si>
    <t>rozdíl příjmů a výdajů z podnikání (§7)</t>
  </si>
  <si>
    <t>výdaje na sociální pojištění OSVČ</t>
  </si>
  <si>
    <t>výdaje na zdravotní pojištění OSVČ</t>
  </si>
  <si>
    <t>daň</t>
  </si>
  <si>
    <t>čisté příjmy z podnikání (roční)</t>
  </si>
  <si>
    <t>PŘÍJMY Z KAPITÁLOVÉHO MAJETKU</t>
  </si>
  <si>
    <t>příjmy z kapitálového majetku (§8)</t>
  </si>
  <si>
    <t>čisté příjmy z kapitálového majetku (roční)</t>
  </si>
  <si>
    <t>PŘÍJMY Z PRONÁJMU</t>
  </si>
  <si>
    <t>rozdíl příjmů a výdajů z pronájmu (§9)</t>
  </si>
  <si>
    <t>čisté příjmy z pronájmu (průměrné měsíční)</t>
  </si>
  <si>
    <t>Sazba daně</t>
  </si>
  <si>
    <t>základ daně §7</t>
  </si>
  <si>
    <t xml:space="preserve"> - ztráta</t>
  </si>
  <si>
    <t>základ daně po odpočtu ztráty</t>
  </si>
  <si>
    <t>nezdanitelné části základu daně</t>
  </si>
  <si>
    <t>základ daně zaokrouhledný na celá sta dolů</t>
  </si>
  <si>
    <t>PZZ: Úhrn příjmů od všech zaměstnavatelů</t>
  </si>
  <si>
    <t>Suma PZZ+PZP</t>
  </si>
  <si>
    <t>Platí se zvýšená daň 23% z PZP?</t>
  </si>
  <si>
    <t>základ daně pro zvýšenou daň 23%</t>
  </si>
  <si>
    <t>Daň - část daněná zvýšenou daní 23%</t>
  </si>
  <si>
    <r>
      <t xml:space="preserve">základ daně </t>
    </r>
    <r>
      <rPr>
        <i/>
        <sz val="10"/>
        <rFont val="Arial"/>
        <family val="2"/>
        <charset val="238"/>
      </rPr>
      <t>(bez části, která je daněna zvýšenou daní 23%)</t>
    </r>
  </si>
  <si>
    <t>slevy na dani</t>
  </si>
  <si>
    <t>daň po uplatnění slev na dani</t>
  </si>
  <si>
    <t>Solidární daň</t>
  </si>
  <si>
    <t>Limit pro placení zvýšené daně 23%</t>
  </si>
  <si>
    <t>KAPITÁLOVÝ MAJETEK</t>
  </si>
  <si>
    <t>základ daně §8</t>
  </si>
  <si>
    <t>PRONÁJEM</t>
  </si>
  <si>
    <t>základ daně §9</t>
  </si>
  <si>
    <t>Další slevy na dani</t>
  </si>
  <si>
    <t>daňové zvýhodnění na vyživované dítě</t>
  </si>
  <si>
    <t>HI</t>
  </si>
  <si>
    <t>minimální základ                   ano</t>
  </si>
  <si>
    <t>ne</t>
  </si>
  <si>
    <t>základ daně</t>
  </si>
  <si>
    <t>vyměřovací základ zaměstnance</t>
  </si>
  <si>
    <t>není  již aplikován strop</t>
  </si>
  <si>
    <t>vyměřovací základ OSVČ</t>
  </si>
  <si>
    <t>minimální mzda</t>
  </si>
  <si>
    <t>částka přesahující max. VZ</t>
  </si>
  <si>
    <t>vyměřovací základ ze SVČ</t>
  </si>
  <si>
    <t>pojistné</t>
  </si>
  <si>
    <t>Čistý průměrný měsíční příjem za posledních 12 měsíců (min. za poslední 3 měsíce) podle "Potvrzení o výši pracovního příjmu"</t>
  </si>
  <si>
    <t>Část příjmů nebo výsledku hospodaření před zdaněním (zisk), kterou rozdělujete na spolupracující osobu (osoby) podle § 13 zákona, včetně člena rodiny zúčastněného na provozu rodinného závodu.</t>
  </si>
  <si>
    <t>Odst. 6 zákona (soukromé životní pojištění)</t>
  </si>
  <si>
    <t>52a</t>
  </si>
  <si>
    <t>Přijmení</t>
  </si>
  <si>
    <t>Pokud je klient OSVČ a zároveň pro něj připadá v úvahu jedna z následujících možností, zaškrtněte ji.</t>
  </si>
  <si>
    <t>zaměstnanec (zakládající limit na nemocenském resp. důchodovém pojištění)</t>
  </si>
  <si>
    <t>důchodce invalidní nebo starobní</t>
  </si>
  <si>
    <t>pečuje o osobu mladší 10 let</t>
  </si>
  <si>
    <t>plní vojenskou službu</t>
  </si>
  <si>
    <t>nezaopatřené dítě</t>
  </si>
  <si>
    <t>plátcem zdravotního pojistného byl stát</t>
  </si>
  <si>
    <t xml:space="preserve">řádek 31 DP přesahuje částku 194.400 Kč </t>
  </si>
  <si>
    <t>osoba s těžkým tělesným, smyslovým nebo mentálním postižením, které se poskytují mimořádné výhody II.</t>
  </si>
  <si>
    <t>celodenně osobně a řádně pečovala alespoň o jedno dítě do 7 let nebo nejméně o dvě děti do 15 let věku</t>
  </si>
  <si>
    <t>Pokud požadujete modifikaci výdajů  paušálem, pak vyberte jednu možnost:</t>
  </si>
  <si>
    <t>Datum</t>
  </si>
  <si>
    <t>Podpis</t>
  </si>
  <si>
    <t>Kategorie podle CZ-NACE</t>
  </si>
  <si>
    <t>Paušály 2019</t>
  </si>
  <si>
    <t>Upravené paušály KB 2019</t>
  </si>
  <si>
    <t>2 - Lesnictví a těžba dřeva</t>
  </si>
  <si>
    <t>11 - Výroba nápojů</t>
  </si>
  <si>
    <t>18 - Tisk a rozmnožování nahraných nosičů</t>
  </si>
  <si>
    <t>32 - Ostatní zpracovatelský průmysl</t>
  </si>
  <si>
    <t>33 - Opravy a instalace strojů a zařízení</t>
  </si>
  <si>
    <t>43 - Specializované stavební činnosti</t>
  </si>
  <si>
    <t xml:space="preserve">47 - Maloobchod, kromě motorových vozidel </t>
  </si>
  <si>
    <t>55 - Ubytování</t>
  </si>
  <si>
    <t>56 - Stravování a pohostinství</t>
  </si>
  <si>
    <t>58 - Vydavatelské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</si>
  <si>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</si>
  <si>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</si>
  <si>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</si>
  <si>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</si>
  <si>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</si>
  <si>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</si>
  <si>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60% / 40%</t>
  </si>
  <si>
    <t>70 - Činnnosti vedení podniků; poradenství v oblasti řízení</t>
  </si>
  <si>
    <t>71 - Architektonické a inženýrské činnosti; technické zkoušky a analýzy</t>
  </si>
  <si>
    <t>72 - Výzkum a vývoj</t>
  </si>
  <si>
    <t>73 - Reklama a průzkum trhu</t>
  </si>
  <si>
    <t>74 - Ostatní profesní, vědecké a technické činnosti</t>
  </si>
  <si>
    <t>77 - Činnosti v oblasti pronájmu a operativního leasingu</t>
  </si>
  <si>
    <t>78 - Činnosti související se zaměstnáním</t>
  </si>
  <si>
    <t xml:space="preserve">81 - Činnosti související se stavbami a úpravou krajiny </t>
  </si>
  <si>
    <t>82 - Administrativní, kancelářské a jiné podpůrné činnosti pro podnikání</t>
  </si>
  <si>
    <t>85 - Vzdělávání</t>
  </si>
  <si>
    <t>88 - Ambulantní nebo terénní sociální služby</t>
  </si>
  <si>
    <t>95 - Opravy počítačů a výrobků pro osobní potřebu a převážně pro domácnost</t>
  </si>
  <si>
    <t>96 - Poskytování ostatních osobních služeb</t>
  </si>
  <si>
    <t>KDYŽ(NEBO(_37&lt;&gt;0;_101&gt;0;_102&gt;0;_104&gt;0)=PRAVDA;KDYŽ(A(vstupni_data!B71="";vstupni_data!B73="";vstupni_data!B75="";vstupni_data!B77="";vstupni_data!B79="";vstupni_data!B81="";vstupni_data!B83="");"";"X");"")</t>
  </si>
  <si>
    <t>KDYŽ(NEBO(_37&lt;&gt;0;_101&gt;0;_102&gt;0;_104&gt;0)=PRAVDA;KDYŽ(A(vstupni_data!B65="";vstupni_data!B70="";vstupni_data!B72="";vstupni_data!B74="";vstupni_data!B76="";vstupni_data!B78="";vstupni_data!B80="");"";"x");"")</t>
  </si>
  <si>
    <t>SSHI</t>
  </si>
  <si>
    <t>vypočtený vyměřovací základ</t>
  </si>
  <si>
    <t>určený vyměřovací základ</t>
  </si>
  <si>
    <t>vyměřovací základ ze zaměstnání</t>
  </si>
  <si>
    <t>součet vyměrovacích základů</t>
  </si>
  <si>
    <t>Kalkulačka k DP  | verze 11</t>
  </si>
  <si>
    <t xml:space="preserve">řádek 31 DP přesahuje částku 226.800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</si>
</sst>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_K_č"/>
    <numFmt numFmtId="165" formatCode="#,##0\ \ "/>
    <numFmt numFmtId="166" formatCode="0.0%"/>
    <numFmt numFmtId="167" formatCode="0.000"/>
  </numFmts>
  <fonts count="39" x14ac:knownFonts="1">
    <font>
      <sz val="11"/>
      <color theme="1"/>
      <name val="Calibri"/>
      <family val="2"/>
      <scheme val="minor"/>
    </font>
    <font>
      <b/>
      <sz val="12"/>
      <color indexed="9"/>
      <name val="Arial"/>
      <family val="2"/>
      <charset val="238"/>
    </font>
    <font>
      <b/>
      <sz val="10"/>
      <name val="Arial"/>
      <family val="2"/>
      <charset val="238"/>
    </font>
    <font>
      <sz val="10"/>
      <name val="Arial"/>
      <family val="2"/>
      <charset val="238"/>
    </font>
    <font>
      <sz val="12"/>
      <color indexed="9"/>
      <name val="Arial"/>
      <family val="2"/>
      <charset val="238"/>
    </font>
    <font>
      <b/>
      <sz val="12"/>
      <name val="Arial"/>
      <family val="2"/>
      <charset val="238"/>
    </font>
    <font>
      <sz val="9"/>
      <name val="Arial"/>
      <family val="2"/>
      <charset val="238"/>
    </font>
    <font>
      <sz val="10"/>
      <name val="Arial"/>
      <family val="2"/>
    </font>
    <font>
      <sz val="9"/>
      <name val="Arial"/>
      <family val="2"/>
    </font>
    <font>
      <sz val="8"/>
      <name val="Arial"/>
      <family val="2"/>
    </font>
    <font>
      <sz val="7"/>
      <name val="Arial"/>
      <family val="2"/>
    </font>
    <font>
      <u/>
      <sz val="10"/>
      <name val="Arial"/>
      <family val="2"/>
      <charset val="238"/>
    </font>
    <font>
      <b/>
      <sz val="9"/>
      <name val="Arial"/>
      <family val="2"/>
      <charset val="238"/>
    </font>
    <font>
      <sz val="10"/>
      <color indexed="8"/>
      <name val="Arial"/>
      <family val="2"/>
    </font>
    <font>
      <sz val="10"/>
      <color theme="1"/>
      <name val="Arial"/>
      <family val="2"/>
      <charset val="238"/>
    </font>
    <font>
      <b/>
      <sz val="11"/>
      <name val="Arial"/>
      <family val="2"/>
      <charset val="238"/>
    </font>
    <font>
      <sz val="10"/>
      <color indexed="23"/>
      <name val="Arial"/>
      <family val="2"/>
      <charset val="238"/>
    </font>
    <font>
      <sz val="10"/>
      <color theme="0" tint="-0.14999847407452621"/>
      <name val="Arial"/>
      <family val="2"/>
      <charset val="238"/>
    </font>
    <font>
      <b/>
      <sz val="10"/>
      <color theme="0" tint="-0.14999847407452621"/>
      <name val="Arial"/>
      <family val="2"/>
      <charset val="238"/>
    </font>
    <font>
      <sz val="48"/>
      <name val="KBlogo"/>
      <charset val="2"/>
    </font>
    <font>
      <b/>
      <sz val="13"/>
      <color indexed="9"/>
      <name val="Arial"/>
      <family val="2"/>
      <charset val="238"/>
    </font>
    <font>
      <b/>
      <sz val="10"/>
      <name val="Arial"/>
      <family val="2"/>
    </font>
    <font>
      <i/>
      <sz val="10"/>
      <name val="Arial"/>
      <family val="2"/>
      <charset val="238"/>
    </font>
    <font>
      <sz val="11"/>
      <color theme="1"/>
      <name val="Calibri"/>
      <family val="2"/>
      <scheme val="minor"/>
    </font>
    <font>
      <b/>
      <sz val="11"/>
      <color theme="1"/>
      <name val="Calibri"/>
      <family val="2"/>
      <charset val="238"/>
      <scheme val="minor"/>
    </font>
    <font>
      <b/>
      <sz val="10"/>
      <color indexed="10"/>
      <name val="Arial"/>
      <family val="2"/>
      <charset val="238"/>
    </font>
    <font>
      <sz val="10"/>
      <color indexed="10"/>
      <name val="Arial"/>
      <family val="2"/>
      <charset val="238"/>
    </font>
    <font>
      <b/>
      <i/>
      <sz val="10"/>
      <name val="Arial"/>
      <family val="2"/>
      <charset val="238"/>
    </font>
    <font>
      <sz val="11"/>
      <color theme="1"/>
      <name val="Arial"/>
      <family val="2"/>
      <charset val="238"/>
    </font>
    <font>
      <sz val="8"/>
      <name val="Arial"/>
      <family val="2"/>
      <charset val="238"/>
    </font>
    <font>
      <sz val="7"/>
      <name val="Arial"/>
      <family val="2"/>
      <charset val="238"/>
    </font>
    <font>
      <sz val="10"/>
      <color indexed="8"/>
      <name val="Arial"/>
      <family val="2"/>
      <charset val="238"/>
    </font>
    <font>
      <b/>
      <sz val="11"/>
      <color theme="1"/>
      <name val="Arial"/>
      <family val="2"/>
      <charset val="238"/>
    </font>
    <font>
      <b/>
      <sz val="10"/>
      <color indexed="81"/>
      <name val="Calibri"/>
      <family val="2"/>
      <charset val="238"/>
    </font>
    <font>
      <sz val="11"/>
      <color rgb="FFFF0000"/>
      <name val="Calibri"/>
      <family val="2"/>
      <scheme val="minor"/>
    </font>
    <font>
      <sz val="10"/>
      <color theme="2"/>
      <name val="Arial"/>
      <family val="2"/>
      <charset val="238"/>
    </font>
    <font>
      <sz val="9"/>
      <color indexed="81"/>
      <name val="Tahoma"/>
      <family val="2"/>
      <charset val="238"/>
    </font>
    <font>
      <b/>
      <sz val="9"/>
      <color indexed="81"/>
      <name val="Tahoma"/>
      <family val="2"/>
      <charset val="238"/>
    </font>
    <font>
      <b/>
      <sz val="9"/>
      <color indexed="81"/>
      <name val="Calibri"/>
      <family val="2"/>
      <charset val="238"/>
    </font>
  </fonts>
  <fills count="12">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FFCCCC"/>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s>
  <borders count="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style="thin">
        <color auto="1"/>
      </left>
      <right style="medium">
        <color auto="1"/>
      </right>
      <top/>
      <bottom style="medium">
        <color auto="1"/>
      </bottom>
      <diagonal/>
    </border>
    <border>
      <left style="hair">
        <color auto="1"/>
      </left>
      <right/>
      <top style="thin">
        <color auto="1"/>
      </top>
      <bottom/>
      <diagonal/>
    </border>
    <border>
      <left/>
      <right/>
      <top style="thin">
        <color auto="1"/>
      </top>
      <bottom/>
      <diagonal/>
    </border>
    <border>
      <left style="thin">
        <color auto="1"/>
      </left>
      <right style="medium">
        <color auto="1"/>
      </right>
      <top style="thin">
        <color auto="1"/>
      </top>
      <bottom/>
      <diagonal/>
    </border>
    <border>
      <left style="thin">
        <color indexed="23"/>
      </left>
      <right style="thin">
        <color indexed="23"/>
      </right>
      <top style="thin">
        <color indexed="23"/>
      </top>
      <bottom style="thin">
        <color indexed="23"/>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indexed="63"/>
      </left>
      <right style="thin">
        <color indexed="63"/>
      </right>
      <top/>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0" fontId="3" fillId="0" borderId="0"/>
    <xf numFmtId="3" fontId="14" fillId="7" borderId="1" applyBorder="0">
      <alignment horizontal="center" vertical="center"/>
      <protection hidden="1"/>
    </xf>
    <xf numFmtId="9" fontId="23" fillId="0" borderId="0" applyFont="0" applyFill="0" applyBorder="0" applyAlignment="0" applyProtection="0"/>
    <xf numFmtId="43" fontId="23" fillId="0" borderId="0" applyFont="0" applyFill="0" applyBorder="0" applyAlignment="0" applyProtection="0"/>
  </cellStyleXfs>
  <cellXfs count="33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164" fontId="4" fillId="2" borderId="0" xfId="0" applyNumberFormat="1" applyFont="1" applyFill="1" applyAlignment="1">
      <alignment vertical="center"/>
    </xf>
    <xf numFmtId="0" fontId="5" fillId="2" borderId="0" xfId="0" applyFont="1" applyFill="1" applyAlignment="1">
      <alignment vertical="center"/>
    </xf>
    <xf numFmtId="0" fontId="3" fillId="4" borderId="4" xfId="0" applyFont="1" applyFill="1" applyBorder="1" applyAlignment="1" applyProtection="1">
      <alignment horizontal="center" vertical="center"/>
      <protection locked="0"/>
    </xf>
    <xf numFmtId="0" fontId="6" fillId="2" borderId="0" xfId="1" applyFont="1" applyFill="1" applyAlignment="1">
      <alignment horizontal="left" vertical="center"/>
    </xf>
    <xf numFmtId="0" fontId="6" fillId="2" borderId="0" xfId="1" applyFont="1" applyFill="1" applyAlignment="1">
      <alignment horizontal="center" vertical="center"/>
    </xf>
    <xf numFmtId="0" fontId="11" fillId="6" borderId="0" xfId="1" applyFont="1" applyFill="1" applyAlignment="1">
      <alignment horizontal="center"/>
    </xf>
    <xf numFmtId="0" fontId="12" fillId="6" borderId="9" xfId="1" applyFont="1" applyFill="1" applyBorder="1" applyAlignment="1">
      <alignment vertical="center"/>
    </xf>
    <xf numFmtId="0" fontId="2" fillId="2" borderId="0" xfId="0" applyFont="1" applyFill="1" applyAlignment="1">
      <alignment vertical="center" wrapText="1"/>
    </xf>
    <xf numFmtId="0" fontId="3" fillId="2" borderId="33" xfId="0" applyFont="1" applyFill="1" applyBorder="1" applyAlignment="1" applyProtection="1">
      <alignment horizontal="center" vertical="center"/>
      <protection hidden="1"/>
    </xf>
    <xf numFmtId="0" fontId="17" fillId="2" borderId="0" xfId="0" applyFont="1" applyFill="1" applyAlignment="1">
      <alignment horizontal="center" vertical="center"/>
    </xf>
    <xf numFmtId="0" fontId="17" fillId="2" borderId="0" xfId="1" applyFont="1" applyFill="1" applyAlignment="1">
      <alignment horizontal="center" vertical="center"/>
    </xf>
    <xf numFmtId="0" fontId="18" fillId="2" borderId="0" xfId="0" applyFont="1" applyFill="1" applyAlignment="1">
      <alignment vertical="center"/>
    </xf>
    <xf numFmtId="0" fontId="3" fillId="2" borderId="0" xfId="0" applyFont="1" applyFill="1" applyAlignment="1">
      <alignment vertical="center"/>
    </xf>
    <xf numFmtId="0" fontId="17" fillId="2" borderId="0" xfId="0" applyFont="1" applyFill="1" applyAlignment="1">
      <alignment vertical="center"/>
    </xf>
    <xf numFmtId="0" fontId="0" fillId="0" borderId="0" xfId="0" applyAlignment="1">
      <alignment vertical="top"/>
    </xf>
    <xf numFmtId="0" fontId="3" fillId="0" borderId="0" xfId="1" applyAlignment="1">
      <alignment vertical="center"/>
    </xf>
    <xf numFmtId="0" fontId="19" fillId="0" borderId="0" xfId="0" applyFont="1"/>
    <xf numFmtId="0" fontId="2" fillId="0" borderId="0" xfId="1" applyFont="1" applyAlignment="1">
      <alignment horizontal="left" vertical="center"/>
    </xf>
    <xf numFmtId="0" fontId="3" fillId="0" borderId="0" xfId="1"/>
    <xf numFmtId="165" fontId="7" fillId="0" borderId="8" xfId="1" applyNumberFormat="1" applyFont="1" applyBorder="1" applyAlignment="1" applyProtection="1">
      <alignment horizontal="center" vertical="center"/>
      <protection locked="0"/>
    </xf>
    <xf numFmtId="0" fontId="3" fillId="0" borderId="0" xfId="1" applyAlignment="1">
      <alignment horizontal="center" vertical="center"/>
    </xf>
    <xf numFmtId="0" fontId="8" fillId="0" borderId="0" xfId="1" applyFont="1" applyAlignment="1">
      <alignment horizontal="center" vertical="center"/>
    </xf>
    <xf numFmtId="0" fontId="7" fillId="0" borderId="0" xfId="1" applyFont="1" applyAlignment="1">
      <alignment horizontal="center" vertical="center"/>
    </xf>
    <xf numFmtId="0" fontId="9" fillId="0" borderId="0" xfId="1" applyFont="1" applyAlignment="1">
      <alignment vertical="center" wrapText="1"/>
    </xf>
    <xf numFmtId="0" fontId="10" fillId="0" borderId="0" xfId="1" applyFont="1" applyAlignment="1">
      <alignment horizontal="left" vertical="center" wrapText="1" indent="1"/>
    </xf>
    <xf numFmtId="165" fontId="7" fillId="0" borderId="0" xfId="1" applyNumberFormat="1" applyFont="1" applyAlignment="1" applyProtection="1">
      <alignment horizontal="center" vertical="center"/>
      <protection locked="0"/>
    </xf>
    <xf numFmtId="0" fontId="3" fillId="0" borderId="0" xfId="1" applyAlignment="1">
      <alignment vertical="top"/>
    </xf>
    <xf numFmtId="0" fontId="12" fillId="0" borderId="0" xfId="1" applyFont="1" applyAlignment="1">
      <alignment horizontal="left" vertical="top"/>
    </xf>
    <xf numFmtId="0" fontId="10" fillId="0" borderId="0" xfId="1" applyFont="1" applyAlignment="1">
      <alignment vertical="top"/>
    </xf>
    <xf numFmtId="0" fontId="7" fillId="0" borderId="0" xfId="1" applyFont="1" applyAlignment="1">
      <alignment horizontal="center" vertical="top"/>
    </xf>
    <xf numFmtId="0" fontId="10" fillId="0" borderId="0" xfId="1" applyFont="1" applyAlignment="1">
      <alignment horizontal="left" vertical="top"/>
    </xf>
    <xf numFmtId="165" fontId="7" fillId="0" borderId="0" xfId="1" applyNumberFormat="1" applyFont="1" applyAlignment="1" applyProtection="1">
      <alignment horizontal="right" vertical="top"/>
      <protection locked="0"/>
    </xf>
    <xf numFmtId="3" fontId="13" fillId="0" borderId="8" xfId="0" applyNumberFormat="1" applyFont="1" applyBorder="1" applyAlignment="1" applyProtection="1">
      <alignment horizontal="center" vertical="center"/>
      <protection locked="0"/>
    </xf>
    <xf numFmtId="0" fontId="7" fillId="0" borderId="0" xfId="1" applyFont="1" applyAlignment="1">
      <alignment vertical="center"/>
    </xf>
    <xf numFmtId="0" fontId="7" fillId="0" borderId="0" xfId="1" applyFont="1" applyAlignment="1">
      <alignment horizontal="left" vertical="center" indent="1"/>
    </xf>
    <xf numFmtId="3" fontId="13" fillId="0" borderId="16" xfId="0" applyNumberFormat="1" applyFont="1" applyBorder="1" applyAlignment="1" applyProtection="1">
      <alignment horizontal="center" vertical="center"/>
      <protection locked="0"/>
    </xf>
    <xf numFmtId="3" fontId="13" fillId="0" borderId="35" xfId="0" applyNumberFormat="1" applyFont="1" applyBorder="1" applyAlignment="1" applyProtection="1">
      <alignment horizontal="center" vertical="center"/>
      <protection locked="0"/>
    </xf>
    <xf numFmtId="3" fontId="13" fillId="0" borderId="25" xfId="2" applyFont="1" applyFill="1" applyBorder="1">
      <alignment horizontal="center" vertical="center"/>
      <protection hidden="1"/>
    </xf>
    <xf numFmtId="165" fontId="7" fillId="0" borderId="0" xfId="1" applyNumberFormat="1" applyFont="1" applyAlignment="1" applyProtection="1">
      <alignment horizontal="right" vertical="center"/>
      <protection locked="0"/>
    </xf>
    <xf numFmtId="0" fontId="21" fillId="0" borderId="0" xfId="1" applyFont="1" applyAlignment="1">
      <alignment horizontal="left" vertical="top"/>
    </xf>
    <xf numFmtId="0" fontId="7" fillId="0" borderId="0" xfId="1" applyFont="1" applyAlignment="1">
      <alignment vertical="top"/>
    </xf>
    <xf numFmtId="0" fontId="7" fillId="0" borderId="0" xfId="1" applyFont="1" applyAlignment="1">
      <alignment horizontal="left" vertical="top"/>
    </xf>
    <xf numFmtId="165" fontId="7" fillId="0" borderId="16" xfId="1" applyNumberFormat="1" applyFont="1" applyBorder="1" applyAlignment="1" applyProtection="1">
      <alignment horizontal="center" vertical="center"/>
      <protection locked="0"/>
    </xf>
    <xf numFmtId="165" fontId="7" fillId="0" borderId="20" xfId="1" applyNumberFormat="1" applyFont="1" applyBorder="1" applyAlignment="1" applyProtection="1">
      <alignment horizontal="center" vertical="center"/>
      <protection locked="0"/>
    </xf>
    <xf numFmtId="165" fontId="7" fillId="0" borderId="25" xfId="1" applyNumberFormat="1" applyFont="1" applyBorder="1" applyAlignment="1" applyProtection="1">
      <alignment horizontal="center" vertical="center"/>
      <protection locked="0"/>
    </xf>
    <xf numFmtId="0" fontId="7" fillId="0" borderId="0" xfId="1" applyFont="1"/>
    <xf numFmtId="0" fontId="7" fillId="0" borderId="0" xfId="1" applyFont="1" applyAlignment="1">
      <alignment horizontal="center"/>
    </xf>
    <xf numFmtId="3" fontId="13" fillId="0" borderId="20" xfId="0" applyNumberFormat="1" applyFont="1" applyBorder="1" applyAlignment="1" applyProtection="1">
      <alignment horizontal="center" vertical="center"/>
      <protection locked="0"/>
    </xf>
    <xf numFmtId="3" fontId="13" fillId="0" borderId="25" xfId="0" applyNumberFormat="1" applyFont="1" applyBorder="1" applyAlignment="1" applyProtection="1">
      <alignment horizontal="center" vertical="center"/>
      <protection locked="0"/>
    </xf>
    <xf numFmtId="0" fontId="2" fillId="0" borderId="0" xfId="1"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3" fillId="0" borderId="4" xfId="0" applyFont="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39" xfId="1" applyBorder="1" applyAlignment="1">
      <alignment vertical="center"/>
    </xf>
    <xf numFmtId="0" fontId="2" fillId="0" borderId="0" xfId="1" applyFont="1" applyAlignment="1">
      <alignment horizontal="left"/>
    </xf>
    <xf numFmtId="3" fontId="3" fillId="0" borderId="0" xfId="1" applyNumberFormat="1" applyAlignment="1">
      <alignment vertical="center"/>
    </xf>
    <xf numFmtId="0" fontId="3" fillId="0" borderId="0" xfId="1" applyAlignment="1">
      <alignment horizontal="left" vertical="center"/>
    </xf>
    <xf numFmtId="0" fontId="3" fillId="0" borderId="0" xfId="0" applyFont="1"/>
    <xf numFmtId="0" fontId="3" fillId="0" borderId="0" xfId="0" applyFont="1" applyAlignment="1">
      <alignment horizontal="left" vertical="center" wrapText="1"/>
    </xf>
    <xf numFmtId="14" fontId="3" fillId="0" borderId="0" xfId="1" applyNumberFormat="1" applyAlignment="1">
      <alignment vertical="center"/>
    </xf>
    <xf numFmtId="0" fontId="2" fillId="0" borderId="0" xfId="0" applyFont="1" applyAlignment="1">
      <alignment horizontal="left" vertical="center"/>
    </xf>
    <xf numFmtId="0" fontId="3" fillId="0" borderId="5" xfId="1" applyBorder="1" applyAlignment="1">
      <alignment vertical="center"/>
    </xf>
    <xf numFmtId="0" fontId="3" fillId="0" borderId="4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5" xfId="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center" wrapText="1"/>
    </xf>
    <xf numFmtId="3" fontId="2" fillId="0" borderId="5" xfId="1" applyNumberFormat="1" applyFont="1" applyBorder="1" applyAlignment="1">
      <alignment horizontal="left" vertical="center"/>
    </xf>
    <xf numFmtId="0" fontId="6" fillId="0" borderId="0" xfId="1" applyFont="1" applyAlignment="1">
      <alignment horizontal="left" vertical="top"/>
    </xf>
    <xf numFmtId="0" fontId="3" fillId="0" borderId="0" xfId="1" applyAlignment="1">
      <alignment horizontal="left" vertical="top"/>
    </xf>
    <xf numFmtId="3" fontId="2" fillId="0" borderId="0" xfId="1" applyNumberFormat="1" applyFont="1" applyAlignment="1">
      <alignment horizontal="left" vertical="center"/>
    </xf>
    <xf numFmtId="9" fontId="3" fillId="0" borderId="0" xfId="1" applyNumberFormat="1" applyAlignment="1">
      <alignment horizontal="left" vertical="center"/>
    </xf>
    <xf numFmtId="0" fontId="22" fillId="0" borderId="0" xfId="1" applyFont="1" applyAlignment="1">
      <alignment horizontal="left" vertical="center"/>
    </xf>
    <xf numFmtId="0" fontId="3" fillId="0" borderId="0" xfId="1" applyAlignment="1">
      <alignment horizontal="left"/>
    </xf>
    <xf numFmtId="0" fontId="2" fillId="0" borderId="5" xfId="1" applyFont="1" applyBorder="1" applyAlignment="1">
      <alignment horizontal="left" vertical="top"/>
    </xf>
    <xf numFmtId="14" fontId="22" fillId="0" borderId="0" xfId="1" applyNumberFormat="1" applyFont="1" applyAlignment="1">
      <alignment horizontal="left" vertical="center"/>
    </xf>
    <xf numFmtId="14" fontId="3" fillId="0" borderId="0" xfId="0" applyNumberFormat="1" applyFont="1" applyAlignment="1">
      <alignment horizontal="left" vertical="center" wrapText="1"/>
    </xf>
    <xf numFmtId="14" fontId="3" fillId="0" borderId="0" xfId="0" applyNumberFormat="1" applyFont="1" applyAlignment="1">
      <alignment vertical="center" wrapText="1"/>
    </xf>
    <xf numFmtId="0" fontId="2" fillId="0" borderId="0" xfId="1" applyFont="1" applyAlignment="1">
      <alignment vertical="center"/>
    </xf>
    <xf numFmtId="0" fontId="3" fillId="0" borderId="0" xfId="1" applyAlignment="1">
      <alignment horizontal="center" vertical="top"/>
    </xf>
    <xf numFmtId="9" fontId="3" fillId="0" borderId="0" xfId="1" applyNumberFormat="1" applyAlignment="1">
      <alignment vertical="center"/>
    </xf>
    <xf numFmtId="0" fontId="24" fillId="0" borderId="0" xfId="1" applyFont="1" applyAlignment="1">
      <alignment horizontal="left" vertical="center"/>
    </xf>
    <xf numFmtId="3" fontId="6" fillId="0" borderId="0" xfId="1" applyNumberFormat="1" applyFont="1" applyAlignment="1">
      <alignment horizontal="left" vertical="center"/>
    </xf>
    <xf numFmtId="0" fontId="0" fillId="0" borderId="5" xfId="0" applyBorder="1" applyAlignment="1">
      <alignment vertical="center"/>
    </xf>
    <xf numFmtId="0" fontId="3" fillId="0" borderId="5" xfId="0" applyFont="1" applyBorder="1" applyAlignment="1">
      <alignment vertical="center" wrapText="1"/>
    </xf>
    <xf numFmtId="0" fontId="0" fillId="0" borderId="47" xfId="0" applyBorder="1"/>
    <xf numFmtId="9" fontId="0" fillId="0" borderId="47" xfId="0" applyNumberFormat="1" applyBorder="1"/>
    <xf numFmtId="9" fontId="3" fillId="0" borderId="47" xfId="0" applyNumberFormat="1" applyFont="1" applyBorder="1"/>
    <xf numFmtId="0" fontId="0" fillId="0" borderId="0" xfId="0" applyAlignment="1">
      <alignment horizontal="center"/>
    </xf>
    <xf numFmtId="0" fontId="2" fillId="0" borderId="0" xfId="1" applyFont="1"/>
    <xf numFmtId="3" fontId="3" fillId="0" borderId="0" xfId="1" applyNumberFormat="1"/>
    <xf numFmtId="3" fontId="0" fillId="0" borderId="0" xfId="1" applyNumberFormat="1" applyFont="1"/>
    <xf numFmtId="0" fontId="3" fillId="0" borderId="5" xfId="1" applyBorder="1"/>
    <xf numFmtId="3" fontId="3" fillId="0" borderId="5" xfId="1" applyNumberFormat="1" applyBorder="1"/>
    <xf numFmtId="3" fontId="3" fillId="0" borderId="38" xfId="1" applyNumberFormat="1" applyBorder="1"/>
    <xf numFmtId="0" fontId="25" fillId="0" borderId="40" xfId="1" applyFont="1" applyBorder="1"/>
    <xf numFmtId="3" fontId="25" fillId="9" borderId="48" xfId="1" applyNumberFormat="1" applyFont="1" applyFill="1" applyBorder="1"/>
    <xf numFmtId="0" fontId="25" fillId="0" borderId="0" xfId="1" applyFont="1"/>
    <xf numFmtId="3" fontId="25" fillId="0" borderId="0" xfId="1" applyNumberFormat="1" applyFont="1"/>
    <xf numFmtId="0" fontId="25" fillId="0" borderId="1" xfId="1" applyFont="1" applyBorder="1"/>
    <xf numFmtId="3" fontId="0" fillId="0" borderId="48" xfId="0" applyNumberFormat="1" applyBorder="1"/>
    <xf numFmtId="0" fontId="26" fillId="0" borderId="0" xfId="0" applyFont="1"/>
    <xf numFmtId="0" fontId="0" fillId="0" borderId="48" xfId="0" applyBorder="1" applyAlignment="1">
      <alignment horizontal="center"/>
    </xf>
    <xf numFmtId="3" fontId="2" fillId="10" borderId="0" xfId="0" applyNumberFormat="1" applyFont="1" applyFill="1"/>
    <xf numFmtId="3" fontId="0" fillId="0" borderId="0" xfId="0" applyNumberFormat="1"/>
    <xf numFmtId="166" fontId="3" fillId="10" borderId="0" xfId="3" applyNumberFormat="1" applyFont="1" applyFill="1"/>
    <xf numFmtId="0" fontId="25" fillId="0" borderId="5" xfId="1" applyFont="1" applyBorder="1"/>
    <xf numFmtId="3" fontId="25" fillId="9" borderId="49" xfId="1" applyNumberFormat="1" applyFont="1" applyFill="1" applyBorder="1"/>
    <xf numFmtId="0" fontId="2" fillId="0" borderId="0" xfId="0" applyFont="1"/>
    <xf numFmtId="3" fontId="2" fillId="0" borderId="0" xfId="0" applyNumberFormat="1" applyFont="1"/>
    <xf numFmtId="166" fontId="23" fillId="10" borderId="0" xfId="3" applyNumberFormat="1" applyFill="1"/>
    <xf numFmtId="0" fontId="2" fillId="0" borderId="0" xfId="0" applyFont="1" applyAlignment="1">
      <alignment vertical="center"/>
    </xf>
    <xf numFmtId="3" fontId="0" fillId="0" borderId="0" xfId="0" applyNumberFormat="1" applyAlignment="1">
      <alignment vertical="center"/>
    </xf>
    <xf numFmtId="0" fontId="0" fillId="0" borderId="5" xfId="0" applyBorder="1"/>
    <xf numFmtId="3" fontId="0" fillId="0" borderId="5" xfId="0" applyNumberFormat="1" applyBorder="1"/>
    <xf numFmtId="0" fontId="0" fillId="8" borderId="5" xfId="0" applyFill="1" applyBorder="1"/>
    <xf numFmtId="3" fontId="0" fillId="8" borderId="5" xfId="0" applyNumberFormat="1" applyFill="1" applyBorder="1"/>
    <xf numFmtId="0" fontId="22" fillId="0" borderId="5" xfId="0" applyFont="1" applyBorder="1"/>
    <xf numFmtId="3" fontId="22" fillId="0" borderId="5" xfId="0" applyNumberFormat="1" applyFont="1" applyBorder="1"/>
    <xf numFmtId="0" fontId="22" fillId="11" borderId="5" xfId="0" applyFont="1" applyFill="1" applyBorder="1"/>
    <xf numFmtId="3" fontId="22" fillId="11" borderId="5" xfId="0" applyNumberFormat="1" applyFont="1" applyFill="1" applyBorder="1" applyAlignment="1">
      <alignment horizontal="center"/>
    </xf>
    <xf numFmtId="3" fontId="22" fillId="0" borderId="5" xfId="0" applyNumberFormat="1" applyFont="1" applyBorder="1" applyAlignment="1">
      <alignment horizontal="center"/>
    </xf>
    <xf numFmtId="0" fontId="3" fillId="0" borderId="5" xfId="0" applyFont="1" applyBorder="1" applyAlignment="1">
      <alignment horizontal="left"/>
    </xf>
    <xf numFmtId="9" fontId="3" fillId="10" borderId="0" xfId="3" applyFont="1" applyFill="1"/>
    <xf numFmtId="3" fontId="0" fillId="0" borderId="38" xfId="0" applyNumberFormat="1" applyBorder="1"/>
    <xf numFmtId="0" fontId="27" fillId="0" borderId="1" xfId="0" applyFont="1" applyBorder="1"/>
    <xf numFmtId="3" fontId="27" fillId="0" borderId="48" xfId="0" applyNumberFormat="1" applyFont="1" applyBorder="1"/>
    <xf numFmtId="0" fontId="27" fillId="0" borderId="0" xfId="0" applyFont="1"/>
    <xf numFmtId="3" fontId="27" fillId="0" borderId="0" xfId="0" applyNumberFormat="1" applyFont="1"/>
    <xf numFmtId="0" fontId="3" fillId="0" borderId="5" xfId="0" applyFont="1" applyBorder="1"/>
    <xf numFmtId="9" fontId="0" fillId="0" borderId="0" xfId="3" applyFont="1" applyFill="1"/>
    <xf numFmtId="0" fontId="0" fillId="0" borderId="38" xfId="0" applyBorder="1"/>
    <xf numFmtId="0" fontId="3" fillId="0" borderId="48" xfId="0" applyFont="1" applyBorder="1"/>
    <xf numFmtId="0" fontId="2" fillId="0" borderId="3" xfId="1" applyFont="1" applyBorder="1" applyAlignment="1">
      <alignment vertical="center"/>
    </xf>
    <xf numFmtId="3" fontId="2" fillId="0" borderId="5" xfId="1" applyNumberFormat="1" applyFont="1" applyBorder="1" applyAlignment="1">
      <alignment horizontal="left" vertical="top"/>
    </xf>
    <xf numFmtId="167" fontId="2" fillId="0" borderId="5" xfId="1" applyNumberFormat="1" applyFont="1" applyBorder="1" applyAlignment="1">
      <alignment horizontal="left" vertical="center"/>
    </xf>
    <xf numFmtId="0" fontId="8" fillId="0" borderId="0" xfId="1" applyFont="1" applyAlignment="1">
      <alignment horizontal="left" vertical="center" wrapText="1"/>
    </xf>
    <xf numFmtId="3" fontId="6" fillId="5" borderId="0" xfId="1" applyNumberFormat="1" applyFont="1" applyFill="1" applyAlignment="1">
      <alignment horizontal="left" vertical="center"/>
    </xf>
    <xf numFmtId="3" fontId="2" fillId="5" borderId="0" xfId="1" applyNumberFormat="1" applyFont="1" applyFill="1" applyAlignment="1">
      <alignment horizontal="left" vertical="center"/>
    </xf>
    <xf numFmtId="0" fontId="0" fillId="5" borderId="0" xfId="0" applyFill="1"/>
    <xf numFmtId="0" fontId="3" fillId="5" borderId="0" xfId="1" applyFill="1" applyAlignment="1">
      <alignment horizontal="left"/>
    </xf>
    <xf numFmtId="0" fontId="2" fillId="5" borderId="0" xfId="1" applyFont="1" applyFill="1" applyAlignment="1">
      <alignment horizontal="left" vertical="top"/>
    </xf>
    <xf numFmtId="0" fontId="2" fillId="5" borderId="0" xfId="1" applyFont="1" applyFill="1" applyAlignment="1">
      <alignment horizontal="left" vertical="center"/>
    </xf>
    <xf numFmtId="0" fontId="3" fillId="5" borderId="0" xfId="1" applyFill="1" applyAlignment="1">
      <alignment horizontal="left" vertical="center"/>
    </xf>
    <xf numFmtId="0" fontId="3" fillId="2" borderId="0" xfId="1" applyFill="1"/>
    <xf numFmtId="0" fontId="3" fillId="2" borderId="0" xfId="1" applyFill="1" applyAlignment="1">
      <alignment vertical="center"/>
    </xf>
    <xf numFmtId="0" fontId="28" fillId="2" borderId="0" xfId="0" applyFont="1" applyFill="1" applyAlignment="1">
      <alignment vertical="center"/>
    </xf>
    <xf numFmtId="0" fontId="28" fillId="2" borderId="0" xfId="0" applyFont="1" applyFill="1"/>
    <xf numFmtId="0" fontId="3" fillId="2" borderId="0" xfId="1" applyFill="1" applyAlignment="1">
      <alignment horizontal="center" vertical="center"/>
    </xf>
    <xf numFmtId="0" fontId="28" fillId="2" borderId="0" xfId="0" applyFont="1" applyFill="1" applyAlignment="1">
      <alignment horizontal="center" vertical="center"/>
    </xf>
    <xf numFmtId="9" fontId="3" fillId="2" borderId="5" xfId="1" applyNumberFormat="1" applyFill="1" applyBorder="1" applyAlignment="1" applyProtection="1">
      <alignment horizontal="center" vertical="center"/>
      <protection hidden="1"/>
    </xf>
    <xf numFmtId="9" fontId="3" fillId="2" borderId="0" xfId="1" applyNumberFormat="1" applyFill="1" applyAlignment="1" applyProtection="1">
      <alignment horizontal="center" vertical="center"/>
      <protection hidden="1"/>
    </xf>
    <xf numFmtId="0" fontId="3" fillId="5" borderId="0" xfId="1" applyFill="1"/>
    <xf numFmtId="0" fontId="3" fillId="5" borderId="0" xfId="1" applyFill="1" applyAlignment="1">
      <alignment horizontal="center" vertical="center"/>
    </xf>
    <xf numFmtId="0" fontId="3" fillId="5" borderId="7" xfId="1" applyFill="1" applyBorder="1" applyAlignment="1">
      <alignment horizontal="left" vertical="center" indent="1"/>
    </xf>
    <xf numFmtId="165" fontId="3" fillId="4" borderId="8" xfId="1" applyNumberFormat="1" applyFill="1" applyBorder="1" applyAlignment="1" applyProtection="1">
      <alignment horizontal="center" vertical="center"/>
      <protection locked="0"/>
    </xf>
    <xf numFmtId="0" fontId="6" fillId="5" borderId="0" xfId="1" applyFont="1" applyFill="1" applyAlignment="1">
      <alignment horizontal="center" vertical="center"/>
    </xf>
    <xf numFmtId="0" fontId="29" fillId="5" borderId="0" xfId="1" applyFont="1" applyFill="1" applyAlignment="1">
      <alignment vertical="center" wrapText="1"/>
    </xf>
    <xf numFmtId="0" fontId="30" fillId="5" borderId="0" xfId="1" applyFont="1" applyFill="1" applyAlignment="1">
      <alignment horizontal="left" vertical="center" wrapText="1" indent="1"/>
    </xf>
    <xf numFmtId="165" fontId="3" fillId="5" borderId="0" xfId="1" applyNumberFormat="1" applyFill="1" applyAlignment="1">
      <alignment horizontal="center" vertical="center"/>
    </xf>
    <xf numFmtId="0" fontId="3" fillId="6" borderId="0" xfId="1" applyFill="1"/>
    <xf numFmtId="0" fontId="3" fillId="6" borderId="0" xfId="1" applyFill="1" applyAlignment="1">
      <alignment horizontal="center" vertical="center"/>
    </xf>
    <xf numFmtId="0" fontId="6" fillId="6" borderId="0" xfId="1" applyFont="1" applyFill="1" applyAlignment="1">
      <alignment horizontal="center" vertical="center"/>
    </xf>
    <xf numFmtId="0" fontId="30" fillId="6" borderId="0" xfId="1" applyFont="1" applyFill="1" applyAlignment="1">
      <alignment vertical="center"/>
    </xf>
    <xf numFmtId="0" fontId="30" fillId="6" borderId="0" xfId="1" applyFont="1" applyFill="1" applyAlignment="1">
      <alignment horizontal="left" vertical="center" indent="1"/>
    </xf>
    <xf numFmtId="165" fontId="3" fillId="6" borderId="0" xfId="1" applyNumberFormat="1" applyFill="1" applyAlignment="1">
      <alignment horizontal="center" vertical="center"/>
    </xf>
    <xf numFmtId="0" fontId="3" fillId="6" borderId="11" xfId="1" applyFill="1" applyBorder="1" applyAlignment="1">
      <alignment vertical="center"/>
    </xf>
    <xf numFmtId="0" fontId="3" fillId="6" borderId="7" xfId="1" applyFill="1" applyBorder="1" applyAlignment="1">
      <alignment vertical="center"/>
    </xf>
    <xf numFmtId="0" fontId="3" fillId="6" borderId="7" xfId="1" applyFill="1" applyBorder="1" applyAlignment="1">
      <alignment horizontal="left" vertical="center" indent="1"/>
    </xf>
    <xf numFmtId="3" fontId="31" fillId="4" borderId="8" xfId="0" applyNumberFormat="1" applyFont="1" applyFill="1" applyBorder="1" applyAlignment="1" applyProtection="1">
      <alignment horizontal="center" vertical="center"/>
      <protection locked="0"/>
    </xf>
    <xf numFmtId="0" fontId="3" fillId="6" borderId="0" xfId="1" applyFill="1" applyAlignment="1">
      <alignment vertical="center"/>
    </xf>
    <xf numFmtId="0" fontId="3" fillId="6" borderId="0" xfId="1" applyFill="1" applyAlignment="1">
      <alignment horizontal="left" vertical="center" indent="1"/>
    </xf>
    <xf numFmtId="165" fontId="3" fillId="6" borderId="0" xfId="1" applyNumberFormat="1" applyFill="1" applyAlignment="1" applyProtection="1">
      <alignment horizontal="center" vertical="center"/>
      <protection locked="0"/>
    </xf>
    <xf numFmtId="0" fontId="3" fillId="6" borderId="15" xfId="1" applyFill="1" applyBorder="1" applyAlignment="1">
      <alignment horizontal="left" vertical="center" wrapText="1" indent="1"/>
    </xf>
    <xf numFmtId="3" fontId="31" fillId="4" borderId="16" xfId="0" applyNumberFormat="1" applyFont="1" applyFill="1" applyBorder="1" applyAlignment="1" applyProtection="1">
      <alignment horizontal="center" vertical="center"/>
      <protection locked="0"/>
    </xf>
    <xf numFmtId="0" fontId="3" fillId="6" borderId="2" xfId="1" applyFill="1" applyBorder="1" applyAlignment="1">
      <alignment horizontal="left" vertical="center" wrapText="1" indent="1"/>
    </xf>
    <xf numFmtId="3" fontId="31" fillId="4" borderId="20" xfId="0" applyNumberFormat="1" applyFont="1" applyFill="1" applyBorder="1" applyAlignment="1" applyProtection="1">
      <alignment horizontal="center" vertical="center"/>
      <protection locked="0"/>
    </xf>
    <xf numFmtId="0" fontId="3" fillId="6" borderId="24" xfId="1" applyFill="1" applyBorder="1" applyAlignment="1">
      <alignment horizontal="left" vertical="center" indent="1"/>
    </xf>
    <xf numFmtId="3" fontId="31" fillId="4" borderId="25" xfId="2" applyFont="1" applyFill="1" applyBorder="1" applyProtection="1">
      <alignment horizontal="center" vertical="center"/>
      <protection locked="0" hidden="1"/>
    </xf>
    <xf numFmtId="0" fontId="3" fillId="6" borderId="9" xfId="1" applyFill="1" applyBorder="1" applyAlignment="1">
      <alignment horizontal="left" vertical="center" indent="1"/>
    </xf>
    <xf numFmtId="165" fontId="3" fillId="4" borderId="29" xfId="1" applyNumberFormat="1" applyFill="1" applyBorder="1" applyAlignment="1" applyProtection="1">
      <alignment horizontal="center"/>
      <protection locked="0"/>
    </xf>
    <xf numFmtId="165" fontId="3" fillId="6" borderId="0" xfId="1" applyNumberFormat="1" applyFill="1" applyAlignment="1" applyProtection="1">
      <alignment horizontal="right" vertical="center"/>
      <protection locked="0"/>
    </xf>
    <xf numFmtId="0" fontId="3" fillId="6" borderId="14" xfId="1" applyFill="1" applyBorder="1" applyAlignment="1">
      <alignment vertical="center"/>
    </xf>
    <xf numFmtId="0" fontId="3" fillId="6" borderId="15" xfId="1" applyFill="1" applyBorder="1" applyAlignment="1">
      <alignment vertical="center"/>
    </xf>
    <xf numFmtId="0" fontId="3" fillId="6" borderId="15" xfId="1" applyFill="1" applyBorder="1" applyAlignment="1">
      <alignment horizontal="left" vertical="center" indent="1"/>
    </xf>
    <xf numFmtId="165" fontId="3" fillId="4" borderId="16" xfId="1" applyNumberFormat="1" applyFill="1" applyBorder="1" applyAlignment="1" applyProtection="1">
      <alignment horizontal="center" vertical="center"/>
      <protection locked="0"/>
    </xf>
    <xf numFmtId="0" fontId="3" fillId="6" borderId="19" xfId="1" applyFill="1" applyBorder="1" applyAlignment="1">
      <alignment vertical="center"/>
    </xf>
    <xf numFmtId="0" fontId="3" fillId="6" borderId="2" xfId="1" applyFill="1" applyBorder="1" applyAlignment="1">
      <alignment vertical="center"/>
    </xf>
    <xf numFmtId="0" fontId="3" fillId="6" borderId="2" xfId="1" applyFill="1" applyBorder="1" applyAlignment="1">
      <alignment horizontal="left" vertical="center" indent="1"/>
    </xf>
    <xf numFmtId="165" fontId="3" fillId="4" borderId="20" xfId="1" applyNumberFormat="1" applyFill="1" applyBorder="1" applyAlignment="1" applyProtection="1">
      <alignment horizontal="center" vertical="center"/>
      <protection locked="0"/>
    </xf>
    <xf numFmtId="165" fontId="3" fillId="4" borderId="25" xfId="1" applyNumberFormat="1" applyFill="1" applyBorder="1" applyAlignment="1" applyProtection="1">
      <alignment horizontal="center" vertical="center"/>
      <protection locked="0"/>
    </xf>
    <xf numFmtId="0" fontId="3" fillId="6" borderId="0" xfId="1" applyFill="1" applyAlignment="1">
      <alignment horizontal="center"/>
    </xf>
    <xf numFmtId="0" fontId="3" fillId="6" borderId="2" xfId="1" applyFill="1" applyBorder="1" applyAlignment="1">
      <alignment horizontal="left" vertical="center"/>
    </xf>
    <xf numFmtId="0" fontId="3" fillId="6" borderId="30" xfId="1" applyFill="1" applyBorder="1" applyAlignment="1">
      <alignment vertical="center"/>
    </xf>
    <xf numFmtId="0" fontId="3" fillId="6" borderId="31" xfId="1" applyFill="1" applyBorder="1" applyAlignment="1">
      <alignment vertical="center"/>
    </xf>
    <xf numFmtId="0" fontId="3" fillId="6" borderId="31" xfId="1" applyFill="1" applyBorder="1" applyAlignment="1">
      <alignment horizontal="left" vertical="center"/>
    </xf>
    <xf numFmtId="0" fontId="3" fillId="6" borderId="31" xfId="1" applyFill="1" applyBorder="1" applyAlignment="1">
      <alignment horizontal="left" vertical="center" indent="1"/>
    </xf>
    <xf numFmtId="3" fontId="31" fillId="4" borderId="32" xfId="0" applyNumberFormat="1" applyFont="1" applyFill="1" applyBorder="1" applyAlignment="1" applyProtection="1">
      <alignment horizontal="center" vertical="center"/>
      <protection locked="0"/>
    </xf>
    <xf numFmtId="0" fontId="3" fillId="6" borderId="23" xfId="1" applyFill="1" applyBorder="1" applyAlignment="1">
      <alignment vertical="center"/>
    </xf>
    <xf numFmtId="0" fontId="3" fillId="6" borderId="24" xfId="1" applyFill="1" applyBorder="1" applyAlignment="1">
      <alignment vertical="center"/>
    </xf>
    <xf numFmtId="0" fontId="3" fillId="6" borderId="24" xfId="1" applyFill="1" applyBorder="1" applyAlignment="1">
      <alignment horizontal="left" vertical="center" wrapText="1"/>
    </xf>
    <xf numFmtId="0" fontId="3" fillId="6" borderId="24" xfId="1" applyFill="1" applyBorder="1" applyAlignment="1">
      <alignment horizontal="left" vertical="center" wrapText="1" indent="1"/>
    </xf>
    <xf numFmtId="3" fontId="31" fillId="4" borderId="25" xfId="0" applyNumberFormat="1" applyFont="1" applyFill="1" applyBorder="1" applyAlignment="1" applyProtection="1">
      <alignment horizontal="center" vertical="center"/>
      <protection locked="0"/>
    </xf>
    <xf numFmtId="0" fontId="3" fillId="6" borderId="15" xfId="1" applyFill="1" applyBorder="1" applyAlignment="1">
      <alignment horizontal="left" vertical="center"/>
    </xf>
    <xf numFmtId="0" fontId="3" fillId="6" borderId="2" xfId="1" applyFill="1" applyBorder="1" applyAlignment="1">
      <alignment horizontal="left" vertical="center" wrapText="1"/>
    </xf>
    <xf numFmtId="0" fontId="3" fillId="6" borderId="31" xfId="1" applyFill="1" applyBorder="1" applyAlignment="1">
      <alignment horizontal="left" vertical="center" wrapText="1"/>
    </xf>
    <xf numFmtId="0" fontId="3" fillId="6" borderId="31" xfId="1" applyFill="1" applyBorder="1" applyAlignment="1">
      <alignment horizontal="left" vertical="center" wrapText="1" indent="1"/>
    </xf>
    <xf numFmtId="165" fontId="3" fillId="4" borderId="32" xfId="1" applyNumberFormat="1" applyFill="1" applyBorder="1" applyAlignment="1" applyProtection="1">
      <alignment horizontal="center" vertical="center"/>
      <protection locked="0"/>
    </xf>
    <xf numFmtId="0" fontId="3" fillId="6" borderId="24" xfId="1" applyFill="1" applyBorder="1" applyAlignment="1">
      <alignment horizontal="left" vertical="center"/>
    </xf>
    <xf numFmtId="0" fontId="3" fillId="6" borderId="0" xfId="1" applyFill="1" applyAlignment="1">
      <alignment horizontal="left" vertical="center" wrapText="1"/>
    </xf>
    <xf numFmtId="0" fontId="3" fillId="6" borderId="0" xfId="1" applyFill="1" applyAlignment="1">
      <alignment horizontal="left" vertical="center" wrapText="1" indent="1"/>
    </xf>
    <xf numFmtId="0" fontId="3" fillId="5" borderId="0" xfId="1" applyFill="1" applyAlignment="1">
      <alignment vertical="center"/>
    </xf>
    <xf numFmtId="0" fontId="32" fillId="5" borderId="0" xfId="1" applyFont="1" applyFill="1" applyAlignment="1">
      <alignment horizontal="left" vertical="center"/>
    </xf>
    <xf numFmtId="3" fontId="3" fillId="5" borderId="0" xfId="1" applyNumberFormat="1" applyFill="1" applyAlignment="1">
      <alignment vertical="center"/>
    </xf>
    <xf numFmtId="0" fontId="28" fillId="5" borderId="0" xfId="0" applyFont="1" applyFill="1"/>
    <xf numFmtId="0" fontId="3" fillId="5" borderId="0" xfId="1" applyFill="1" applyAlignment="1">
      <alignment vertical="top"/>
    </xf>
    <xf numFmtId="0" fontId="16" fillId="2" borderId="0" xfId="0" applyFont="1" applyFill="1" applyAlignment="1">
      <alignment horizontal="left" vertical="center"/>
    </xf>
    <xf numFmtId="0" fontId="3" fillId="2" borderId="0" xfId="0" applyFont="1" applyFill="1" applyAlignment="1" applyProtection="1">
      <alignment horizontal="center" vertical="center"/>
      <protection hidden="1"/>
    </xf>
    <xf numFmtId="0" fontId="34" fillId="5" borderId="0" xfId="0" applyFont="1" applyFill="1" applyAlignment="1">
      <alignment horizontal="right"/>
    </xf>
    <xf numFmtId="0" fontId="28" fillId="5" borderId="0" xfId="0" applyFont="1" applyFill="1" applyAlignment="1">
      <alignment vertical="center"/>
    </xf>
    <xf numFmtId="3" fontId="28" fillId="5" borderId="0" xfId="0" applyNumberFormat="1" applyFont="1" applyFill="1"/>
    <xf numFmtId="3" fontId="2" fillId="5" borderId="0" xfId="4" applyNumberFormat="1" applyFont="1" applyFill="1" applyBorder="1" applyAlignment="1">
      <alignment horizontal="left" vertical="center"/>
    </xf>
    <xf numFmtId="0" fontId="3" fillId="5" borderId="0" xfId="0" applyFont="1" applyFill="1" applyAlignment="1" applyProtection="1">
      <alignment horizontal="center" vertical="center"/>
      <protection locked="0"/>
    </xf>
    <xf numFmtId="0" fontId="0" fillId="2" borderId="0" xfId="0" applyFill="1"/>
    <xf numFmtId="0" fontId="0" fillId="0" borderId="48" xfId="0" applyBorder="1"/>
    <xf numFmtId="0" fontId="35" fillId="2" borderId="0" xfId="1" applyFont="1" applyFill="1" applyAlignment="1">
      <alignment vertical="center"/>
    </xf>
    <xf numFmtId="3" fontId="24" fillId="0" borderId="0" xfId="0" applyNumberFormat="1" applyFont="1"/>
    <xf numFmtId="3" fontId="2" fillId="5" borderId="5" xfId="4" applyNumberFormat="1" applyFont="1" applyFill="1" applyBorder="1" applyAlignment="1" applyProtection="1">
      <alignment horizontal="left" vertical="top"/>
      <protection hidden="1"/>
    </xf>
    <xf numFmtId="3" fontId="2" fillId="5" borderId="5" xfId="4" applyNumberFormat="1" applyFont="1" applyFill="1" applyBorder="1" applyAlignment="1" applyProtection="1">
      <alignment horizontal="left" vertical="center"/>
      <protection hidden="1"/>
    </xf>
    <xf numFmtId="0" fontId="3" fillId="5" borderId="4" xfId="0" applyFont="1" applyFill="1" applyBorder="1" applyAlignment="1" applyProtection="1">
      <alignment horizontal="center" vertical="center"/>
      <protection locked="0" hidden="1"/>
    </xf>
    <xf numFmtId="0" fontId="2" fillId="5" borderId="0" xfId="0" applyFont="1" applyFill="1" applyAlignment="1">
      <alignment horizontal="left" vertical="center"/>
    </xf>
    <xf numFmtId="0" fontId="12" fillId="6" borderId="9" xfId="1" applyFont="1" applyFill="1" applyBorder="1" applyAlignment="1">
      <alignment horizontal="left" vertical="center"/>
    </xf>
    <xf numFmtId="164" fontId="1" fillId="3" borderId="0" xfId="0" applyNumberFormat="1" applyFont="1" applyFill="1" applyAlignment="1">
      <alignment horizontal="left" vertical="center"/>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3" fillId="2" borderId="0" xfId="1" applyFill="1" applyAlignment="1">
      <alignment horizontal="left" vertical="center"/>
    </xf>
    <xf numFmtId="0" fontId="3" fillId="4" borderId="0" xfId="1" applyFill="1" applyAlignment="1" applyProtection="1">
      <alignment horizontal="center" vertical="center"/>
      <protection locked="0"/>
    </xf>
    <xf numFmtId="0" fontId="2" fillId="2" borderId="0" xfId="0" applyFont="1" applyFill="1" applyAlignment="1">
      <alignment horizontal="left" vertical="center"/>
    </xf>
    <xf numFmtId="0" fontId="3" fillId="5" borderId="6" xfId="1" applyFill="1" applyBorder="1" applyAlignment="1">
      <alignment horizontal="left" vertical="center" wrapText="1"/>
    </xf>
    <xf numFmtId="0" fontId="3" fillId="5" borderId="7" xfId="1" applyFill="1" applyBorder="1" applyAlignment="1">
      <alignment horizontal="left" vertical="center" wrapText="1"/>
    </xf>
    <xf numFmtId="0" fontId="3" fillId="6" borderId="17" xfId="1" applyFill="1" applyBorder="1" applyAlignment="1">
      <alignment horizontal="center" vertical="center"/>
    </xf>
    <xf numFmtId="0" fontId="3" fillId="6" borderId="18" xfId="1" applyFill="1" applyBorder="1" applyAlignment="1">
      <alignment horizontal="center" vertical="center"/>
    </xf>
    <xf numFmtId="3" fontId="3" fillId="6" borderId="1" xfId="1" applyNumberFormat="1" applyFill="1" applyBorder="1" applyAlignment="1">
      <alignment horizontal="center" vertical="center"/>
    </xf>
    <xf numFmtId="3" fontId="3" fillId="6" borderId="3" xfId="1" applyNumberFormat="1" applyFill="1" applyBorder="1" applyAlignment="1">
      <alignment horizontal="center" vertical="center"/>
    </xf>
    <xf numFmtId="0" fontId="3" fillId="6" borderId="6" xfId="1" applyFill="1" applyBorder="1" applyAlignment="1">
      <alignment horizontal="center" vertical="center"/>
    </xf>
    <xf numFmtId="0" fontId="3" fillId="6" borderId="10" xfId="1" applyFill="1" applyBorder="1" applyAlignment="1">
      <alignment horizontal="center" vertical="center"/>
    </xf>
    <xf numFmtId="0" fontId="3" fillId="6" borderId="12" xfId="1" applyFill="1" applyBorder="1" applyAlignment="1">
      <alignment horizontal="center" vertical="center"/>
    </xf>
    <xf numFmtId="0" fontId="3" fillId="6" borderId="13" xfId="1" applyFill="1" applyBorder="1" applyAlignment="1">
      <alignment horizontal="center" vertical="center"/>
    </xf>
    <xf numFmtId="0" fontId="3" fillId="6" borderId="14" xfId="1" applyFill="1" applyBorder="1" applyAlignment="1">
      <alignment horizontal="left" vertical="center" wrapText="1"/>
    </xf>
    <xf numFmtId="0" fontId="3" fillId="6" borderId="15" xfId="1" applyFill="1" applyBorder="1" applyAlignment="1">
      <alignment horizontal="left" vertical="center" wrapText="1"/>
    </xf>
    <xf numFmtId="0" fontId="3" fillId="6" borderId="19" xfId="1" applyFill="1" applyBorder="1" applyAlignment="1">
      <alignment horizontal="left" vertical="center" wrapText="1"/>
    </xf>
    <xf numFmtId="0" fontId="3" fillId="6" borderId="2" xfId="1" applyFill="1" applyBorder="1" applyAlignment="1">
      <alignment horizontal="left" vertical="center" wrapText="1"/>
    </xf>
    <xf numFmtId="0" fontId="3" fillId="6" borderId="21" xfId="1" applyFill="1" applyBorder="1" applyAlignment="1">
      <alignment horizontal="center" vertical="center"/>
    </xf>
    <xf numFmtId="0" fontId="3" fillId="6" borderId="22" xfId="1" applyFill="1" applyBorder="1" applyAlignment="1">
      <alignment horizontal="center" vertical="center"/>
    </xf>
    <xf numFmtId="0" fontId="3" fillId="6" borderId="23" xfId="1" applyFill="1" applyBorder="1" applyAlignment="1">
      <alignment horizontal="left" vertical="center"/>
    </xf>
    <xf numFmtId="0" fontId="3" fillId="6" borderId="24" xfId="1" applyFill="1" applyBorder="1" applyAlignment="1">
      <alignment horizontal="left" vertical="center"/>
    </xf>
    <xf numFmtId="0" fontId="3" fillId="6" borderId="26" xfId="1" applyFill="1" applyBorder="1" applyAlignment="1">
      <alignment horizontal="center" vertical="center"/>
    </xf>
    <xf numFmtId="0" fontId="3" fillId="6" borderId="27" xfId="1" applyFill="1" applyBorder="1" applyAlignment="1">
      <alignment horizontal="center" vertical="center"/>
    </xf>
    <xf numFmtId="0" fontId="3" fillId="6" borderId="28" xfId="1" applyFill="1" applyBorder="1" applyAlignment="1">
      <alignment horizontal="left" vertical="center" wrapText="1"/>
    </xf>
    <xf numFmtId="0" fontId="3" fillId="6" borderId="9" xfId="1" applyFill="1" applyBorder="1" applyAlignment="1">
      <alignment horizontal="left" vertical="center" wrapText="1"/>
    </xf>
    <xf numFmtId="0" fontId="3" fillId="6" borderId="3" xfId="1" applyFill="1" applyBorder="1" applyAlignment="1">
      <alignment horizontal="left" vertical="center" wrapText="1"/>
    </xf>
    <xf numFmtId="0" fontId="3" fillId="6" borderId="23" xfId="1" applyFill="1" applyBorder="1" applyAlignment="1">
      <alignment horizontal="left" vertical="center" wrapText="1"/>
    </xf>
    <xf numFmtId="0" fontId="3" fillId="6" borderId="24" xfId="1" applyFill="1" applyBorder="1" applyAlignment="1">
      <alignment horizontal="left" vertical="center" wrapText="1"/>
    </xf>
    <xf numFmtId="0" fontId="3" fillId="6" borderId="34" xfId="1" applyFill="1" applyBorder="1" applyAlignment="1">
      <alignment horizontal="left" vertical="center" wrapText="1"/>
    </xf>
    <xf numFmtId="0" fontId="3" fillId="2" borderId="0" xfId="0" applyFont="1" applyFill="1" applyAlignment="1">
      <alignment horizontal="left" vertical="center"/>
    </xf>
    <xf numFmtId="0" fontId="28" fillId="2" borderId="0" xfId="0" applyFont="1" applyFill="1" applyAlignment="1">
      <alignment horizontal="left"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14" fontId="22" fillId="0" borderId="0" xfId="1" applyNumberFormat="1" applyFont="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9" fontId="3" fillId="0" borderId="38" xfId="1" applyNumberFormat="1" applyBorder="1" applyAlignment="1">
      <alignment horizontal="center" vertical="center"/>
    </xf>
    <xf numFmtId="9" fontId="3" fillId="0" borderId="43" xfId="1" applyNumberFormat="1" applyBorder="1" applyAlignment="1">
      <alignment horizontal="center" vertical="center"/>
    </xf>
    <xf numFmtId="0" fontId="7" fillId="0" borderId="17" xfId="1" applyFont="1" applyBorder="1" applyAlignment="1">
      <alignment horizontal="center" vertical="center"/>
    </xf>
    <xf numFmtId="0" fontId="7" fillId="0" borderId="2"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9" xfId="1" applyFont="1" applyBorder="1" applyAlignment="1">
      <alignment horizontal="center" vertical="center"/>
    </xf>
    <xf numFmtId="0" fontId="7" fillId="0" borderId="18" xfId="1" applyFont="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8" fillId="0" borderId="19"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164" fontId="20" fillId="7" borderId="0" xfId="0" applyNumberFormat="1" applyFont="1" applyFill="1" applyAlignment="1">
      <alignment horizontal="center" vertical="center"/>
    </xf>
    <xf numFmtId="0" fontId="7" fillId="0" borderId="6" xfId="1" applyFont="1" applyBorder="1" applyAlignment="1">
      <alignment horizontal="center" vertical="center"/>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7" fillId="0" borderId="13" xfId="1" applyFont="1" applyBorder="1" applyAlignment="1">
      <alignment horizontal="center" vertical="center"/>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44" xfId="1" applyFont="1" applyBorder="1" applyAlignment="1">
      <alignment horizontal="left" vertical="center" wrapText="1"/>
    </xf>
    <xf numFmtId="0" fontId="8" fillId="0" borderId="11" xfId="1" applyFont="1" applyBorder="1" applyAlignment="1">
      <alignment horizontal="left" vertical="center"/>
    </xf>
    <xf numFmtId="0" fontId="8" fillId="0" borderId="7" xfId="1" applyFont="1" applyBorder="1" applyAlignment="1">
      <alignment horizontal="left" vertical="center"/>
    </xf>
    <xf numFmtId="0" fontId="8" fillId="0" borderId="44" xfId="1" applyFont="1" applyBorder="1" applyAlignment="1">
      <alignment horizontal="left" vertical="center"/>
    </xf>
    <xf numFmtId="0" fontId="8" fillId="0" borderId="12" xfId="1" applyFont="1" applyBorder="1" applyAlignment="1">
      <alignment horizontal="left" vertical="center" wrapText="1"/>
    </xf>
    <xf numFmtId="0" fontId="8" fillId="0" borderId="15" xfId="1" applyFont="1" applyBorder="1" applyAlignment="1">
      <alignment horizontal="left" vertical="center" wrapText="1"/>
    </xf>
    <xf numFmtId="0" fontId="8" fillId="0" borderId="45" xfId="1" applyFont="1" applyBorder="1" applyAlignment="1">
      <alignment horizontal="left" vertical="center" wrapText="1"/>
    </xf>
    <xf numFmtId="0" fontId="8" fillId="0" borderId="17" xfId="1" applyFont="1" applyBorder="1" applyAlignment="1">
      <alignment horizontal="left" vertical="center" wrapText="1"/>
    </xf>
    <xf numFmtId="0" fontId="8" fillId="0" borderId="21" xfId="1" applyFont="1" applyBorder="1" applyAlignment="1">
      <alignment horizontal="left" vertical="center"/>
    </xf>
    <xf numFmtId="0" fontId="8" fillId="0" borderId="24" xfId="1" applyFont="1" applyBorder="1" applyAlignment="1">
      <alignment horizontal="left" vertical="center"/>
    </xf>
    <xf numFmtId="0" fontId="8" fillId="0" borderId="34" xfId="1" applyFont="1" applyBorder="1" applyAlignment="1">
      <alignment horizontal="left" vertical="center"/>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8" fillId="0" borderId="45" xfId="1" applyFont="1" applyBorder="1" applyAlignment="1">
      <alignment horizontal="left" vertical="center"/>
    </xf>
    <xf numFmtId="0" fontId="8" fillId="0" borderId="19"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7" fillId="0" borderId="22" xfId="1" applyFont="1" applyBorder="1" applyAlignment="1">
      <alignment horizontal="center" vertical="center"/>
    </xf>
    <xf numFmtId="0" fontId="9" fillId="0" borderId="19"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23" xfId="1" applyFont="1" applyBorder="1" applyAlignment="1">
      <alignment horizontal="left" vertical="center" wrapText="1"/>
    </xf>
    <xf numFmtId="0" fontId="9" fillId="0" borderId="24" xfId="1" applyFont="1" applyBorder="1" applyAlignment="1">
      <alignment horizontal="left" vertical="center" wrapText="1"/>
    </xf>
    <xf numFmtId="0" fontId="9" fillId="0" borderId="34" xfId="1" applyFont="1" applyBorder="1" applyAlignment="1">
      <alignment horizontal="lef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34" xfId="1" applyFont="1" applyBorder="1" applyAlignment="1">
      <alignment horizontal="left" vertical="center" wrapText="1"/>
    </xf>
    <xf numFmtId="0" fontId="3" fillId="0" borderId="3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cellXfs>
  <cellStyles count="5">
    <cellStyle name="Čárka" xfId="4" builtinId="3"/>
    <cellStyle name="DP_z" xfId="2" xr:uid="{00000000-0005-0000-0000-000001000000}"/>
    <cellStyle name="Normální" xfId="0" builtinId="0"/>
    <cellStyle name="normální_kalkule 4.6.09" xfId="1" xr:uid="{00000000-0005-0000-0000-000003000000}"/>
    <cellStyle name="Procenta" xfId="3" builtinId="5"/>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57343</xdr:colOff>
      <xdr:row>3</xdr:row>
      <xdr:rowOff>9605</xdr:rowOff>
    </xdr:to>
    <xdr:pic>
      <xdr:nvPicPr>
        <xdr:cNvPr id="2" name="Obrázek 1">
          <a:extLst>
            <a:ext uri="{FF2B5EF4-FFF2-40B4-BE49-F238E27FC236}">
              <a16:creationId xmlns:a16="http://schemas.microsoft.com/office/drawing/2014/main" id="{103BDDFF-4F5F-A973-25EA-CFD81A361C8D}"/>
            </a:ext>
          </a:extLst>
        </xdr:cNvPr>
        <xdr:cNvPicPr>
          <a:picLocks noChangeAspect="1"/>
        </xdr:cNvPicPr>
      </xdr:nvPicPr>
      <xdr:blipFill>
        <a:blip xmlns:r="http://schemas.openxmlformats.org/officeDocument/2006/relationships" r:embed="rId1"/>
        <a:stretch>
          <a:fillRect/>
        </a:stretch>
      </xdr:blipFill>
      <xdr:spPr>
        <a:xfrm>
          <a:off x="0" y="0"/>
          <a:ext cx="1381318" cy="571580"/>
        </a:xfrm>
        <a:prstGeom prst="rect">
          <a:avLst/>
        </a:prstGeom>
      </xdr:spPr>
    </xdr:pic>
    <xdr:clientData/>
  </xdr:twoCellAnchor>
  <xdr:twoCellAnchor editAs="oneCell">
    <xdr:from>
      <xdr:col>0</xdr:col>
      <xdr:colOff>0</xdr:colOff>
      <xdr:row>48</xdr:row>
      <xdr:rowOff>19050</xdr:rowOff>
    </xdr:from>
    <xdr:to>
      <xdr:col>7</xdr:col>
      <xdr:colOff>57343</xdr:colOff>
      <xdr:row>51</xdr:row>
      <xdr:rowOff>9605</xdr:rowOff>
    </xdr:to>
    <xdr:pic>
      <xdr:nvPicPr>
        <xdr:cNvPr id="3" name="Obrázek 2">
          <a:extLst>
            <a:ext uri="{FF2B5EF4-FFF2-40B4-BE49-F238E27FC236}">
              <a16:creationId xmlns:a16="http://schemas.microsoft.com/office/drawing/2014/main" id="{E0D31A28-06A7-6AE7-13F7-771C26643209}"/>
            </a:ext>
          </a:extLst>
        </xdr:cNvPr>
        <xdr:cNvPicPr>
          <a:picLocks noChangeAspect="1"/>
        </xdr:cNvPicPr>
      </xdr:nvPicPr>
      <xdr:blipFill>
        <a:blip xmlns:r="http://schemas.openxmlformats.org/officeDocument/2006/relationships" r:embed="rId1"/>
        <a:stretch>
          <a:fillRect/>
        </a:stretch>
      </xdr:blipFill>
      <xdr:spPr>
        <a:xfrm>
          <a:off x="0" y="12049125"/>
          <a:ext cx="1381318" cy="5715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jnar Tomas" id="{8446490A-77DE-4BFB-99FB-E4315BA01F11}" userId="Tojnar Toma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personId="{8446490A-77DE-4BFB-99FB-E4315BA01F11}" id="{8A499C68-50A8-4BCB-89BD-F8E24451DAF9}">
    <text>Zobrazené paušály v comboboxu !vstupni_data"B18"</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autoPageBreaks="0"/>
  </sheetPr>
  <dimension ref="A1:AP114"/>
  <sheetViews>
    <sheetView tabSelected="1" zoomScale="85" zoomScaleNormal="85" zoomScalePageLayoutView="145" workbookViewId="0">
      <selection activeCell="L97" sqref="L97"/>
    </sheetView>
  </sheetViews>
  <sheetFormatPr defaultColWidth="0" defaultRowHeight="14.5" zeroHeight="1" x14ac:dyDescent="0.35"/>
  <cols>
    <col min="1" max="1" width="7.1796875" customWidth="1"/>
    <col min="2" max="2" width="3.1796875" customWidth="1"/>
    <col min="3" max="3" width="1.81640625" customWidth="1"/>
    <col min="4" max="4" width="4.453125" customWidth="1"/>
    <col min="5" max="5" width="3.1796875" customWidth="1"/>
    <col min="6" max="6" width="3.453125" customWidth="1"/>
    <col min="7" max="7" width="6.1796875" customWidth="1"/>
    <col min="8" max="8" width="0.1796875" customWidth="1"/>
    <col min="9" max="9" width="21" customWidth="1"/>
    <col min="10" max="10" width="4.81640625" customWidth="1"/>
    <col min="11" max="11" width="5.1796875" customWidth="1"/>
    <col min="12" max="12" width="5.81640625" customWidth="1"/>
    <col min="13" max="13" width="4" customWidth="1"/>
    <col min="14" max="14" width="6" customWidth="1"/>
    <col min="15" max="15" width="2.81640625" customWidth="1"/>
    <col min="16" max="16" width="10.453125" customWidth="1"/>
    <col min="17" max="17" width="12.1796875" customWidth="1"/>
    <col min="18" max="18" width="3.1796875" customWidth="1"/>
    <col min="19" max="19" width="13.1796875" customWidth="1"/>
    <col min="20" max="20" width="3.1796875" customWidth="1"/>
    <col min="21" max="21" width="9.1796875" hidden="1" customWidth="1"/>
    <col min="22" max="42" width="0" hidden="1" customWidth="1"/>
    <col min="43" max="16383" width="9.1796875" hidden="1"/>
    <col min="16384" max="16384" width="9.1796875" hidden="1" customWidth="1"/>
  </cols>
  <sheetData>
    <row r="1" spans="1:20" ht="15.5" x14ac:dyDescent="0.35">
      <c r="A1" s="1"/>
      <c r="B1" s="1"/>
      <c r="C1" s="1"/>
      <c r="D1" s="1"/>
      <c r="E1" s="1"/>
      <c r="F1" s="1"/>
      <c r="G1" s="1"/>
      <c r="H1" s="1"/>
      <c r="I1" s="1"/>
      <c r="J1" s="1"/>
      <c r="K1" s="1"/>
      <c r="L1" s="1"/>
      <c r="M1" s="1"/>
      <c r="N1" s="1"/>
      <c r="O1" s="238" t="s">
        <v>193</v>
      </c>
      <c r="P1" s="238"/>
      <c r="Q1" s="238"/>
      <c r="R1" s="238"/>
      <c r="S1" s="238"/>
      <c r="T1" s="238"/>
    </row>
    <row r="2" spans="1:20" ht="15.5" x14ac:dyDescent="0.35">
      <c r="A2" s="1"/>
      <c r="B2" s="2" t="s">
        <v>0</v>
      </c>
      <c r="C2" s="2"/>
      <c r="D2" s="2"/>
      <c r="E2" s="2"/>
      <c r="F2" s="2"/>
      <c r="G2" s="2"/>
      <c r="H2" s="1"/>
      <c r="I2" s="1"/>
      <c r="J2" s="1"/>
      <c r="K2" s="1"/>
      <c r="L2" s="1"/>
      <c r="M2" s="1"/>
      <c r="N2" s="2"/>
      <c r="O2" s="2"/>
      <c r="P2" s="2"/>
      <c r="Q2" s="2"/>
      <c r="R2" s="2"/>
      <c r="S2" s="2"/>
      <c r="T2" s="150"/>
    </row>
    <row r="3" spans="1:20" ht="15.5" x14ac:dyDescent="0.35">
      <c r="A3" s="1"/>
      <c r="B3" s="239"/>
      <c r="C3" s="240"/>
      <c r="D3" s="240"/>
      <c r="E3" s="240"/>
      <c r="F3" s="240"/>
      <c r="G3" s="240"/>
      <c r="H3" s="240"/>
      <c r="I3" s="241"/>
      <c r="J3" s="1"/>
      <c r="K3" s="1"/>
      <c r="L3" s="1"/>
      <c r="M3" s="1"/>
      <c r="N3" s="2"/>
      <c r="O3" s="1"/>
      <c r="P3" s="3"/>
      <c r="Q3" s="151"/>
      <c r="R3" s="151"/>
      <c r="S3" s="151"/>
      <c r="T3" s="150"/>
    </row>
    <row r="4" spans="1:20" ht="15.5" x14ac:dyDescent="0.35">
      <c r="A4" s="1"/>
      <c r="B4" s="4"/>
      <c r="C4" s="1"/>
      <c r="D4" s="1"/>
      <c r="E4" s="1"/>
      <c r="F4" s="1"/>
      <c r="G4" s="1"/>
      <c r="H4" s="1"/>
      <c r="I4" s="1"/>
      <c r="J4" s="1"/>
      <c r="K4" s="1"/>
      <c r="L4" s="1"/>
      <c r="M4" s="1"/>
      <c r="N4" s="1"/>
      <c r="O4" s="1"/>
      <c r="P4" s="3"/>
      <c r="Q4" s="151"/>
      <c r="R4" s="151"/>
      <c r="S4" s="151"/>
      <c r="T4" s="150"/>
    </row>
    <row r="5" spans="1:20" ht="15.5" x14ac:dyDescent="0.35">
      <c r="A5" s="1"/>
      <c r="B5" s="2" t="s">
        <v>1</v>
      </c>
      <c r="C5" s="2"/>
      <c r="D5" s="2"/>
      <c r="E5" s="2"/>
      <c r="F5" s="2"/>
      <c r="G5" s="2"/>
      <c r="H5" s="2"/>
      <c r="I5" s="1"/>
      <c r="J5" s="1"/>
      <c r="K5" s="1"/>
      <c r="L5" s="2" t="s">
        <v>2</v>
      </c>
      <c r="M5" s="2"/>
      <c r="N5" s="2"/>
      <c r="O5" s="1"/>
      <c r="P5" s="3"/>
      <c r="Q5" s="151"/>
      <c r="R5" s="151"/>
      <c r="S5" s="151"/>
      <c r="T5" s="150"/>
    </row>
    <row r="6" spans="1:20" ht="15.5" x14ac:dyDescent="0.35">
      <c r="A6" s="1"/>
      <c r="B6" s="239"/>
      <c r="C6" s="240"/>
      <c r="D6" s="240"/>
      <c r="E6" s="240"/>
      <c r="F6" s="240"/>
      <c r="G6" s="240"/>
      <c r="H6" s="240"/>
      <c r="I6" s="241"/>
      <c r="J6" s="1"/>
      <c r="K6" s="1"/>
      <c r="L6" s="239"/>
      <c r="M6" s="240"/>
      <c r="N6" s="240"/>
      <c r="O6" s="240"/>
      <c r="P6" s="240"/>
      <c r="Q6" s="241"/>
      <c r="R6" s="151"/>
      <c r="S6" s="151"/>
      <c r="T6" s="150"/>
    </row>
    <row r="7" spans="1:20" ht="15.5" x14ac:dyDescent="0.35">
      <c r="A7" s="1"/>
      <c r="B7" s="1"/>
      <c r="C7" s="1"/>
      <c r="D7" s="1"/>
      <c r="E7" s="1"/>
      <c r="F7" s="1"/>
      <c r="G7" s="1"/>
      <c r="H7" s="1"/>
      <c r="I7" s="1"/>
      <c r="J7" s="1"/>
      <c r="K7" s="1"/>
      <c r="L7" s="1"/>
      <c r="M7" s="1"/>
      <c r="N7" s="1"/>
      <c r="O7" s="1"/>
      <c r="P7" s="3"/>
      <c r="Q7" s="151"/>
      <c r="R7" s="151"/>
      <c r="S7" s="151"/>
      <c r="T7" s="150"/>
    </row>
    <row r="8" spans="1:20" x14ac:dyDescent="0.35">
      <c r="A8" s="152"/>
      <c r="B8" s="242" t="s">
        <v>3</v>
      </c>
      <c r="C8" s="242"/>
      <c r="D8" s="242"/>
      <c r="E8" s="242"/>
      <c r="F8" s="242"/>
      <c r="G8" s="242"/>
      <c r="H8" s="242"/>
      <c r="I8" s="242"/>
      <c r="J8" s="242"/>
      <c r="K8" s="242"/>
      <c r="L8" s="242"/>
      <c r="M8" s="242"/>
      <c r="N8" s="242"/>
      <c r="O8" s="242"/>
      <c r="P8" s="242"/>
      <c r="Q8" s="242"/>
      <c r="R8" s="242"/>
      <c r="S8" s="242"/>
      <c r="T8" s="153"/>
    </row>
    <row r="9" spans="1:20" ht="15.5" x14ac:dyDescent="0.35">
      <c r="A9" s="151"/>
      <c r="B9" s="5"/>
      <c r="C9" s="152"/>
      <c r="D9" s="151" t="s">
        <v>5</v>
      </c>
      <c r="E9" s="154"/>
      <c r="F9" s="151"/>
      <c r="G9" s="151"/>
      <c r="H9" s="151"/>
      <c r="I9" s="151"/>
      <c r="J9" s="151"/>
      <c r="K9" s="151"/>
      <c r="L9" s="1"/>
      <c r="M9" s="1"/>
      <c r="N9" s="1"/>
      <c r="O9" s="1"/>
      <c r="P9" s="3"/>
      <c r="Q9" s="151"/>
      <c r="R9" s="151"/>
      <c r="S9" s="151"/>
      <c r="T9" s="150"/>
    </row>
    <row r="10" spans="1:20" x14ac:dyDescent="0.35">
      <c r="A10" s="151"/>
      <c r="B10" s="155"/>
      <c r="C10" s="152"/>
      <c r="D10" s="151"/>
      <c r="E10" s="151"/>
      <c r="F10" s="151"/>
      <c r="G10" s="151"/>
      <c r="H10" s="151"/>
      <c r="I10" s="151"/>
      <c r="J10" s="151"/>
      <c r="K10" s="151"/>
      <c r="L10" s="151"/>
      <c r="M10" s="151"/>
      <c r="N10" s="151"/>
      <c r="O10" s="151"/>
      <c r="P10" s="151"/>
      <c r="Q10" s="151"/>
      <c r="R10" s="151"/>
      <c r="S10" s="151"/>
      <c r="T10" s="150"/>
    </row>
    <row r="11" spans="1:20" x14ac:dyDescent="0.35">
      <c r="A11" s="151"/>
      <c r="B11" s="243" t="s">
        <v>6</v>
      </c>
      <c r="C11" s="243"/>
      <c r="D11" s="243"/>
      <c r="E11" s="243"/>
      <c r="F11" s="243"/>
      <c r="G11" s="243"/>
      <c r="H11" s="243"/>
      <c r="I11" s="243"/>
      <c r="J11" s="243"/>
      <c r="K11" s="243"/>
      <c r="L11" s="243"/>
      <c r="M11" s="243"/>
      <c r="N11" s="243"/>
      <c r="O11" s="243"/>
      <c r="P11" s="243"/>
      <c r="Q11" s="6" t="s">
        <v>7</v>
      </c>
      <c r="R11" s="7"/>
      <c r="S11" s="6" t="s">
        <v>8</v>
      </c>
      <c r="T11" s="150"/>
    </row>
    <row r="12" spans="1:20" x14ac:dyDescent="0.35">
      <c r="A12" s="231">
        <f>IF(B12="",1,VLOOKUP(B12,cinnosti!A2:D32,4,FALSE))</f>
        <v>1</v>
      </c>
      <c r="B12" s="244"/>
      <c r="C12" s="244"/>
      <c r="D12" s="244"/>
      <c r="E12" s="244"/>
      <c r="F12" s="244"/>
      <c r="G12" s="244"/>
      <c r="H12" s="244"/>
      <c r="I12" s="244"/>
      <c r="J12" s="244"/>
      <c r="K12" s="244"/>
      <c r="L12" s="244"/>
      <c r="M12" s="244"/>
      <c r="N12" s="244"/>
      <c r="O12" s="244"/>
      <c r="P12" s="151"/>
      <c r="Q12" s="156" t="str">
        <f>IF(B12="","",VLOOKUP(B12,cinnosti!A2:C32,2,FALSE))</f>
        <v/>
      </c>
      <c r="R12" s="151"/>
      <c r="S12" s="156" t="str">
        <f>IF(B12="","",VLOOKUP(B12,cinnosti!A2:C32,3,FALSE))</f>
        <v/>
      </c>
      <c r="T12" s="150"/>
    </row>
    <row r="13" spans="1:20" ht="9" customHeight="1" x14ac:dyDescent="0.35">
      <c r="A13" s="151"/>
      <c r="B13" s="154"/>
      <c r="C13" s="150"/>
      <c r="D13" s="150"/>
      <c r="E13" s="150"/>
      <c r="F13" s="150"/>
      <c r="G13" s="150"/>
      <c r="H13" s="150"/>
      <c r="I13" s="150"/>
      <c r="J13" s="150"/>
      <c r="K13" s="150"/>
      <c r="L13" s="150"/>
      <c r="M13" s="150"/>
      <c r="N13" s="150"/>
      <c r="O13" s="150"/>
      <c r="P13" s="151"/>
      <c r="Q13" s="157"/>
      <c r="R13" s="151"/>
      <c r="S13" s="157"/>
      <c r="T13" s="150"/>
    </row>
    <row r="14" spans="1:20" hidden="1" x14ac:dyDescent="0.35">
      <c r="A14" s="151"/>
      <c r="B14" s="245" t="s">
        <v>10</v>
      </c>
      <c r="C14" s="245"/>
      <c r="D14" s="245"/>
      <c r="E14" s="245"/>
      <c r="F14" s="245"/>
      <c r="G14" s="245"/>
      <c r="H14" s="245"/>
      <c r="I14" s="245"/>
      <c r="J14" s="245"/>
      <c r="K14" s="245"/>
      <c r="L14" s="245"/>
      <c r="M14" s="245"/>
      <c r="N14" s="245"/>
      <c r="O14" s="245"/>
      <c r="P14" s="245"/>
      <c r="Q14" s="245"/>
      <c r="R14" s="245"/>
      <c r="S14" s="245"/>
      <c r="T14" s="245"/>
    </row>
    <row r="15" spans="1:20" hidden="1" x14ac:dyDescent="0.35">
      <c r="A15" s="151"/>
      <c r="B15" s="2"/>
      <c r="C15" s="2"/>
      <c r="D15" s="2"/>
      <c r="E15" s="2"/>
      <c r="F15" s="2"/>
      <c r="G15" s="2"/>
      <c r="H15" s="2"/>
      <c r="I15" s="2"/>
      <c r="J15" s="2"/>
      <c r="K15" s="2"/>
      <c r="L15" s="2"/>
      <c r="M15" s="2"/>
      <c r="N15" s="2"/>
      <c r="O15" s="2"/>
      <c r="P15" s="151"/>
      <c r="Q15" s="157"/>
      <c r="R15" s="157"/>
      <c r="S15" s="157"/>
      <c r="T15" s="150"/>
    </row>
    <row r="16" spans="1:20" hidden="1" x14ac:dyDescent="0.35">
      <c r="A16" s="150"/>
      <c r="B16" s="151"/>
      <c r="C16" s="151"/>
      <c r="D16" s="151"/>
      <c r="E16" s="151"/>
      <c r="F16" s="152"/>
      <c r="G16" s="152"/>
      <c r="H16" s="151"/>
      <c r="I16" s="150"/>
      <c r="J16" s="150"/>
      <c r="K16" s="150"/>
      <c r="L16" s="150"/>
      <c r="M16" s="150"/>
      <c r="N16" s="150"/>
      <c r="O16" s="150"/>
      <c r="P16" s="150"/>
      <c r="Q16" s="151"/>
      <c r="R16" s="151"/>
      <c r="S16" s="157"/>
      <c r="T16" s="150"/>
    </row>
    <row r="17" spans="1:20" x14ac:dyDescent="0.35">
      <c r="A17" s="150"/>
      <c r="B17" s="151"/>
      <c r="C17" s="151"/>
      <c r="D17" s="151"/>
      <c r="E17" s="151"/>
      <c r="F17" s="152"/>
      <c r="G17" s="152"/>
      <c r="H17" s="151"/>
      <c r="I17" s="150"/>
      <c r="J17" s="150"/>
      <c r="K17" s="150"/>
      <c r="L17" s="150"/>
      <c r="M17" s="150"/>
      <c r="N17" s="150"/>
      <c r="O17" s="150"/>
      <c r="P17" s="150"/>
      <c r="Q17" s="151"/>
      <c r="R17" s="151"/>
      <c r="S17" s="151"/>
      <c r="T17" s="150"/>
    </row>
    <row r="18" spans="1:20" ht="15" thickBot="1" x14ac:dyDescent="0.4">
      <c r="A18" s="158"/>
      <c r="B18" s="159"/>
      <c r="C18" s="158"/>
      <c r="D18" s="158"/>
      <c r="E18" s="158"/>
      <c r="F18" s="158"/>
      <c r="G18" s="158"/>
      <c r="H18" s="158"/>
      <c r="I18" s="158"/>
      <c r="J18" s="158"/>
      <c r="K18" s="158"/>
      <c r="L18" s="158"/>
      <c r="M18" s="158"/>
      <c r="N18" s="158"/>
      <c r="O18" s="158"/>
      <c r="P18" s="158"/>
      <c r="Q18" s="158"/>
      <c r="R18" s="158"/>
      <c r="S18" s="158"/>
      <c r="T18" s="158"/>
    </row>
    <row r="19" spans="1:20" ht="15" thickBot="1" x14ac:dyDescent="0.4">
      <c r="A19" s="158"/>
      <c r="B19" s="246" t="s">
        <v>11</v>
      </c>
      <c r="C19" s="247"/>
      <c r="D19" s="247"/>
      <c r="E19" s="247"/>
      <c r="F19" s="247"/>
      <c r="G19" s="247"/>
      <c r="H19" s="247"/>
      <c r="I19" s="247"/>
      <c r="J19" s="247"/>
      <c r="K19" s="247"/>
      <c r="L19" s="247"/>
      <c r="M19" s="247"/>
      <c r="N19" s="247"/>
      <c r="O19" s="247"/>
      <c r="P19" s="247"/>
      <c r="Q19" s="247"/>
      <c r="R19" s="160"/>
      <c r="S19" s="161">
        <v>0</v>
      </c>
      <c r="T19" s="158"/>
    </row>
    <row r="20" spans="1:20" x14ac:dyDescent="0.35">
      <c r="A20" s="158"/>
      <c r="B20" s="159"/>
      <c r="C20" s="158"/>
      <c r="D20" s="162"/>
      <c r="E20" s="159"/>
      <c r="F20" s="159"/>
      <c r="G20" s="159"/>
      <c r="H20" s="159"/>
      <c r="I20" s="163"/>
      <c r="J20" s="163"/>
      <c r="K20" s="163"/>
      <c r="L20" s="163"/>
      <c r="M20" s="163"/>
      <c r="N20" s="163"/>
      <c r="O20" s="163"/>
      <c r="P20" s="164"/>
      <c r="Q20" s="164"/>
      <c r="R20" s="164"/>
      <c r="S20" s="165"/>
      <c r="T20" s="158"/>
    </row>
    <row r="21" spans="1:20" x14ac:dyDescent="0.35">
      <c r="A21" s="166"/>
      <c r="B21" s="167"/>
      <c r="C21" s="166"/>
      <c r="D21" s="168"/>
      <c r="E21" s="167"/>
      <c r="F21" s="167"/>
      <c r="G21" s="167"/>
      <c r="H21" s="167"/>
      <c r="I21" s="169"/>
      <c r="J21" s="169"/>
      <c r="K21" s="169"/>
      <c r="L21" s="169"/>
      <c r="M21" s="169"/>
      <c r="N21" s="169"/>
      <c r="O21" s="169"/>
      <c r="P21" s="170"/>
      <c r="Q21" s="170"/>
      <c r="R21" s="170"/>
      <c r="S21" s="171"/>
      <c r="T21" s="8"/>
    </row>
    <row r="22" spans="1:20" ht="15" thickBot="1" x14ac:dyDescent="0.4">
      <c r="A22" s="166"/>
      <c r="B22" s="237" t="s">
        <v>12</v>
      </c>
      <c r="C22" s="237"/>
      <c r="D22" s="237"/>
      <c r="E22" s="237"/>
      <c r="F22" s="237"/>
      <c r="G22" s="237"/>
      <c r="H22" s="237"/>
      <c r="I22" s="237"/>
      <c r="J22" s="237"/>
      <c r="K22" s="237"/>
      <c r="L22" s="237"/>
      <c r="M22" s="237"/>
      <c r="N22" s="237"/>
      <c r="O22" s="237"/>
      <c r="P22" s="237"/>
      <c r="Q22" s="237"/>
      <c r="R22" s="237"/>
      <c r="S22" s="237"/>
      <c r="T22" s="8"/>
    </row>
    <row r="23" spans="1:20" ht="15" customHeight="1" thickBot="1" x14ac:dyDescent="0.4">
      <c r="A23" s="166"/>
      <c r="B23" s="252">
        <v>31</v>
      </c>
      <c r="C23" s="253"/>
      <c r="D23" s="172" t="s">
        <v>13</v>
      </c>
      <c r="E23" s="173"/>
      <c r="F23" s="173"/>
      <c r="G23" s="173"/>
      <c r="H23" s="173"/>
      <c r="I23" s="173"/>
      <c r="J23" s="173"/>
      <c r="K23" s="173"/>
      <c r="L23" s="173"/>
      <c r="M23" s="173"/>
      <c r="N23" s="173"/>
      <c r="O23" s="173"/>
      <c r="P23" s="174"/>
      <c r="Q23" s="174"/>
      <c r="R23" s="174"/>
      <c r="S23" s="175">
        <v>0</v>
      </c>
      <c r="T23" s="8"/>
    </row>
    <row r="24" spans="1:20" ht="15" thickBot="1" x14ac:dyDescent="0.4">
      <c r="A24" s="166"/>
      <c r="B24" s="167"/>
      <c r="C24" s="167"/>
      <c r="D24" s="167"/>
      <c r="E24" s="167"/>
      <c r="F24" s="176"/>
      <c r="G24" s="176"/>
      <c r="H24" s="176"/>
      <c r="I24" s="176"/>
      <c r="J24" s="176"/>
      <c r="K24" s="176"/>
      <c r="L24" s="176"/>
      <c r="M24" s="176"/>
      <c r="N24" s="176"/>
      <c r="O24" s="176"/>
      <c r="P24" s="177"/>
      <c r="Q24" s="177"/>
      <c r="R24" s="177"/>
      <c r="S24" s="178"/>
      <c r="T24" s="8"/>
    </row>
    <row r="25" spans="1:20" x14ac:dyDescent="0.35">
      <c r="A25" s="166"/>
      <c r="B25" s="254">
        <v>37</v>
      </c>
      <c r="C25" s="255"/>
      <c r="D25" s="256" t="s">
        <v>14</v>
      </c>
      <c r="E25" s="257"/>
      <c r="F25" s="257"/>
      <c r="G25" s="257"/>
      <c r="H25" s="257"/>
      <c r="I25" s="257"/>
      <c r="J25" s="257"/>
      <c r="K25" s="257"/>
      <c r="L25" s="257"/>
      <c r="M25" s="257"/>
      <c r="N25" s="257"/>
      <c r="O25" s="257"/>
      <c r="P25" s="257"/>
      <c r="Q25" s="257"/>
      <c r="R25" s="179"/>
      <c r="S25" s="180">
        <v>0</v>
      </c>
      <c r="T25" s="8"/>
    </row>
    <row r="26" spans="1:20" ht="18" hidden="1" customHeight="1" x14ac:dyDescent="0.35">
      <c r="A26" s="166"/>
      <c r="B26" s="248">
        <v>38</v>
      </c>
      <c r="C26" s="249"/>
      <c r="D26" s="258" t="s">
        <v>15</v>
      </c>
      <c r="E26" s="259"/>
      <c r="F26" s="259"/>
      <c r="G26" s="259"/>
      <c r="H26" s="259"/>
      <c r="I26" s="259"/>
      <c r="J26" s="259"/>
      <c r="K26" s="259"/>
      <c r="L26" s="259"/>
      <c r="M26" s="259"/>
      <c r="N26" s="259"/>
      <c r="O26" s="259"/>
      <c r="P26" s="259"/>
      <c r="Q26" s="259"/>
      <c r="R26" s="181"/>
      <c r="S26" s="182">
        <v>0</v>
      </c>
      <c r="T26" s="8"/>
    </row>
    <row r="27" spans="1:20" ht="14.25" customHeight="1" thickBot="1" x14ac:dyDescent="0.4">
      <c r="A27" s="166"/>
      <c r="B27" s="260">
        <v>39</v>
      </c>
      <c r="C27" s="261"/>
      <c r="D27" s="262" t="s">
        <v>16</v>
      </c>
      <c r="E27" s="263"/>
      <c r="F27" s="263"/>
      <c r="G27" s="263"/>
      <c r="H27" s="263"/>
      <c r="I27" s="263"/>
      <c r="J27" s="263"/>
      <c r="K27" s="263"/>
      <c r="L27" s="263"/>
      <c r="M27" s="263"/>
      <c r="N27" s="263"/>
      <c r="O27" s="263"/>
      <c r="P27" s="263"/>
      <c r="Q27" s="263"/>
      <c r="R27" s="183"/>
      <c r="S27" s="184">
        <v>0</v>
      </c>
      <c r="T27" s="8"/>
    </row>
    <row r="28" spans="1:20" ht="9" hidden="1" customHeight="1" thickBot="1" x14ac:dyDescent="0.4">
      <c r="A28" s="166"/>
      <c r="B28" s="264">
        <v>44</v>
      </c>
      <c r="C28" s="265"/>
      <c r="D28" s="266" t="s">
        <v>17</v>
      </c>
      <c r="E28" s="267"/>
      <c r="F28" s="267"/>
      <c r="G28" s="267"/>
      <c r="H28" s="267"/>
      <c r="I28" s="267"/>
      <c r="J28" s="267"/>
      <c r="K28" s="267"/>
      <c r="L28" s="267"/>
      <c r="M28" s="267"/>
      <c r="N28" s="267"/>
      <c r="O28" s="267"/>
      <c r="P28" s="267"/>
      <c r="Q28" s="267"/>
      <c r="R28" s="185"/>
      <c r="S28" s="186">
        <v>0</v>
      </c>
      <c r="T28" s="8"/>
    </row>
    <row r="29" spans="1:20" x14ac:dyDescent="0.35">
      <c r="A29" s="166"/>
      <c r="B29" s="167"/>
      <c r="C29" s="167"/>
      <c r="D29" s="167"/>
      <c r="E29" s="167"/>
      <c r="F29" s="176"/>
      <c r="G29" s="176"/>
      <c r="H29" s="176"/>
      <c r="I29" s="176"/>
      <c r="J29" s="176"/>
      <c r="K29" s="176"/>
      <c r="L29" s="176"/>
      <c r="M29" s="176"/>
      <c r="N29" s="176"/>
      <c r="O29" s="176"/>
      <c r="P29" s="177"/>
      <c r="Q29" s="177"/>
      <c r="R29" s="177"/>
      <c r="S29" s="187"/>
      <c r="T29" s="8"/>
    </row>
    <row r="30" spans="1:20" ht="15" thickBot="1" x14ac:dyDescent="0.4">
      <c r="A30" s="166"/>
      <c r="B30" s="9" t="s">
        <v>18</v>
      </c>
      <c r="C30" s="9"/>
      <c r="D30" s="9"/>
      <c r="E30" s="9"/>
      <c r="F30" s="9"/>
      <c r="G30" s="9"/>
      <c r="H30" s="9"/>
      <c r="I30" s="9"/>
      <c r="J30" s="9"/>
      <c r="K30" s="9"/>
      <c r="L30" s="9"/>
      <c r="M30" s="9"/>
      <c r="N30" s="9"/>
      <c r="O30" s="9"/>
      <c r="P30" s="9"/>
      <c r="Q30" s="9"/>
      <c r="R30" s="9"/>
      <c r="S30" s="9"/>
      <c r="T30" s="8"/>
    </row>
    <row r="31" spans="1:20" ht="27" customHeight="1" x14ac:dyDescent="0.35">
      <c r="A31" s="166"/>
      <c r="B31" s="254">
        <v>101</v>
      </c>
      <c r="C31" s="255"/>
      <c r="D31" s="188" t="s">
        <v>19</v>
      </c>
      <c r="E31" s="189"/>
      <c r="F31" s="189"/>
      <c r="G31" s="189"/>
      <c r="H31" s="189"/>
      <c r="I31" s="189"/>
      <c r="J31" s="189"/>
      <c r="K31" s="189"/>
      <c r="L31" s="189"/>
      <c r="M31" s="189"/>
      <c r="N31" s="189"/>
      <c r="O31" s="189"/>
      <c r="P31" s="189"/>
      <c r="Q31" s="189"/>
      <c r="R31" s="190"/>
      <c r="S31" s="191">
        <v>0</v>
      </c>
      <c r="T31" s="8"/>
    </row>
    <row r="32" spans="1:20" ht="27.65" customHeight="1" x14ac:dyDescent="0.35">
      <c r="A32" s="166"/>
      <c r="B32" s="248">
        <v>102</v>
      </c>
      <c r="C32" s="249"/>
      <c r="D32" s="192" t="s">
        <v>20</v>
      </c>
      <c r="E32" s="193"/>
      <c r="F32" s="193"/>
      <c r="G32" s="193"/>
      <c r="H32" s="193"/>
      <c r="I32" s="193"/>
      <c r="J32" s="193"/>
      <c r="K32" s="193"/>
      <c r="L32" s="193"/>
      <c r="M32" s="193"/>
      <c r="N32" s="193"/>
      <c r="O32" s="193"/>
      <c r="P32" s="194"/>
      <c r="Q32" s="250" t="str">
        <f>IF(_101="","",IF(AND(B9="x",S12&lt;&gt;"")=TRUE,IF(_102/1000000&gt;=(IF(B16="x",1,2))*IF(OR(A12=18,A12=20),0.4,Q12),S12*1000000*(IF(B16="x",1,2)),_101*S12),""))</f>
        <v/>
      </c>
      <c r="R32" s="251"/>
      <c r="S32" s="195">
        <v>0</v>
      </c>
      <c r="T32" s="8"/>
    </row>
    <row r="33" spans="1:20" ht="24.65" customHeight="1" x14ac:dyDescent="0.35">
      <c r="A33" s="166"/>
      <c r="B33" s="248">
        <v>104</v>
      </c>
      <c r="C33" s="249"/>
      <c r="D33" s="192" t="s">
        <v>21</v>
      </c>
      <c r="E33" s="193"/>
      <c r="F33" s="193"/>
      <c r="G33" s="193"/>
      <c r="H33" s="193"/>
      <c r="I33" s="193"/>
      <c r="J33" s="193"/>
      <c r="K33" s="193"/>
      <c r="L33" s="193"/>
      <c r="M33" s="193"/>
      <c r="N33" s="193"/>
      <c r="O33" s="193"/>
      <c r="P33" s="181"/>
      <c r="Q33" s="250" t="str">
        <f>IF(_101="","",IF(AND(B9="x",S12&lt;&gt;"")=TRUE,_101-_102mod,""))</f>
        <v/>
      </c>
      <c r="R33" s="251"/>
      <c r="S33" s="195">
        <v>0</v>
      </c>
      <c r="T33" s="8"/>
    </row>
    <row r="34" spans="1:20" ht="18" hidden="1" customHeight="1" x14ac:dyDescent="0.35">
      <c r="A34" s="166"/>
      <c r="B34" s="248">
        <v>105</v>
      </c>
      <c r="C34" s="249"/>
      <c r="D34" s="258" t="s">
        <v>22</v>
      </c>
      <c r="E34" s="259"/>
      <c r="F34" s="259"/>
      <c r="G34" s="259"/>
      <c r="H34" s="259"/>
      <c r="I34" s="259"/>
      <c r="J34" s="259"/>
      <c r="K34" s="259"/>
      <c r="L34" s="259"/>
      <c r="M34" s="259"/>
      <c r="N34" s="259"/>
      <c r="O34" s="259"/>
      <c r="P34" s="259"/>
      <c r="Q34" s="259"/>
      <c r="R34" s="268"/>
      <c r="S34" s="195">
        <v>0</v>
      </c>
      <c r="T34" s="8"/>
    </row>
    <row r="35" spans="1:20" ht="27" customHeight="1" x14ac:dyDescent="0.35">
      <c r="A35" s="166"/>
      <c r="B35" s="248">
        <v>106</v>
      </c>
      <c r="C35" s="249"/>
      <c r="D35" s="258" t="s">
        <v>23</v>
      </c>
      <c r="E35" s="259"/>
      <c r="F35" s="259"/>
      <c r="G35" s="259"/>
      <c r="H35" s="259"/>
      <c r="I35" s="259"/>
      <c r="J35" s="259"/>
      <c r="K35" s="259"/>
      <c r="L35" s="259"/>
      <c r="M35" s="259"/>
      <c r="N35" s="259"/>
      <c r="O35" s="259"/>
      <c r="P35" s="259"/>
      <c r="Q35" s="259"/>
      <c r="R35" s="268"/>
      <c r="S35" s="195">
        <v>0</v>
      </c>
      <c r="T35" s="8"/>
    </row>
    <row r="36" spans="1:20" ht="32.25" customHeight="1" x14ac:dyDescent="0.35">
      <c r="A36" s="166"/>
      <c r="B36" s="248">
        <v>107</v>
      </c>
      <c r="C36" s="249"/>
      <c r="D36" s="258" t="s">
        <v>24</v>
      </c>
      <c r="E36" s="259"/>
      <c r="F36" s="259"/>
      <c r="G36" s="259"/>
      <c r="H36" s="259"/>
      <c r="I36" s="259"/>
      <c r="J36" s="259"/>
      <c r="K36" s="259"/>
      <c r="L36" s="259"/>
      <c r="M36" s="259"/>
      <c r="N36" s="259"/>
      <c r="O36" s="259"/>
      <c r="P36" s="259"/>
      <c r="Q36" s="259"/>
      <c r="R36" s="268"/>
      <c r="S36" s="195">
        <v>0</v>
      </c>
      <c r="T36" s="8"/>
    </row>
    <row r="37" spans="1:20" ht="28.5" customHeight="1" x14ac:dyDescent="0.35">
      <c r="A37" s="166"/>
      <c r="B37" s="248">
        <v>108</v>
      </c>
      <c r="C37" s="249"/>
      <c r="D37" s="258" t="s">
        <v>25</v>
      </c>
      <c r="E37" s="259"/>
      <c r="F37" s="259"/>
      <c r="G37" s="259"/>
      <c r="H37" s="259"/>
      <c r="I37" s="259"/>
      <c r="J37" s="259"/>
      <c r="K37" s="259"/>
      <c r="L37" s="259"/>
      <c r="M37" s="259"/>
      <c r="N37" s="259"/>
      <c r="O37" s="259"/>
      <c r="P37" s="259"/>
      <c r="Q37" s="259"/>
      <c r="R37" s="268"/>
      <c r="S37" s="195">
        <v>0</v>
      </c>
      <c r="T37" s="8"/>
    </row>
    <row r="38" spans="1:20" ht="29.25" customHeight="1" x14ac:dyDescent="0.35">
      <c r="A38" s="166"/>
      <c r="B38" s="248">
        <v>109</v>
      </c>
      <c r="C38" s="249"/>
      <c r="D38" s="258" t="s">
        <v>26</v>
      </c>
      <c r="E38" s="259"/>
      <c r="F38" s="259"/>
      <c r="G38" s="259"/>
      <c r="H38" s="259"/>
      <c r="I38" s="259"/>
      <c r="J38" s="259"/>
      <c r="K38" s="259"/>
      <c r="L38" s="259"/>
      <c r="M38" s="259"/>
      <c r="N38" s="259"/>
      <c r="O38" s="259"/>
      <c r="P38" s="259"/>
      <c r="Q38" s="259"/>
      <c r="R38" s="268"/>
      <c r="S38" s="195">
        <v>0</v>
      </c>
      <c r="T38" s="8"/>
    </row>
    <row r="39" spans="1:20" ht="29.25" customHeight="1" thickBot="1" x14ac:dyDescent="0.4">
      <c r="A39" s="166"/>
      <c r="B39" s="260">
        <v>110</v>
      </c>
      <c r="C39" s="261"/>
      <c r="D39" s="269" t="s">
        <v>27</v>
      </c>
      <c r="E39" s="270"/>
      <c r="F39" s="270"/>
      <c r="G39" s="270"/>
      <c r="H39" s="270"/>
      <c r="I39" s="270"/>
      <c r="J39" s="270"/>
      <c r="K39" s="270"/>
      <c r="L39" s="270"/>
      <c r="M39" s="270"/>
      <c r="N39" s="270"/>
      <c r="O39" s="270"/>
      <c r="P39" s="270"/>
      <c r="Q39" s="270"/>
      <c r="R39" s="271"/>
      <c r="S39" s="196">
        <v>0</v>
      </c>
      <c r="T39" s="197"/>
    </row>
    <row r="40" spans="1:20" x14ac:dyDescent="0.35">
      <c r="A40" s="166"/>
      <c r="B40" s="166"/>
      <c r="C40" s="166"/>
      <c r="D40" s="166"/>
      <c r="E40" s="166"/>
      <c r="F40" s="176"/>
      <c r="G40" s="176"/>
      <c r="H40" s="176"/>
      <c r="I40" s="176"/>
      <c r="J40" s="176"/>
      <c r="K40" s="176"/>
      <c r="L40" s="176"/>
      <c r="M40" s="176"/>
      <c r="N40" s="176"/>
      <c r="O40" s="176"/>
      <c r="P40" s="197"/>
      <c r="Q40" s="197"/>
      <c r="R40" s="197"/>
      <c r="S40" s="197"/>
      <c r="T40" s="197"/>
    </row>
    <row r="41" spans="1:20" ht="15" thickBot="1" x14ac:dyDescent="0.4">
      <c r="A41" s="166"/>
      <c r="B41" s="237" t="s">
        <v>28</v>
      </c>
      <c r="C41" s="237"/>
      <c r="D41" s="237"/>
      <c r="E41" s="237"/>
      <c r="F41" s="237"/>
      <c r="G41" s="237"/>
      <c r="H41" s="237"/>
      <c r="I41" s="237"/>
      <c r="J41" s="237"/>
      <c r="K41" s="237"/>
      <c r="L41" s="237"/>
      <c r="M41" s="237"/>
      <c r="N41" s="237"/>
      <c r="O41" s="237"/>
      <c r="P41" s="237"/>
      <c r="Q41" s="237"/>
      <c r="R41" s="237"/>
      <c r="S41" s="237"/>
      <c r="T41" s="197"/>
    </row>
    <row r="42" spans="1:20" x14ac:dyDescent="0.35">
      <c r="A42" s="166"/>
      <c r="B42" s="254">
        <v>46</v>
      </c>
      <c r="C42" s="255"/>
      <c r="D42" s="188" t="s">
        <v>29</v>
      </c>
      <c r="E42" s="189"/>
      <c r="F42" s="189"/>
      <c r="G42" s="189"/>
      <c r="H42" s="189"/>
      <c r="I42" s="189"/>
      <c r="J42" s="189"/>
      <c r="K42" s="189"/>
      <c r="L42" s="189"/>
      <c r="M42" s="189"/>
      <c r="N42" s="189"/>
      <c r="O42" s="189"/>
      <c r="P42" s="189"/>
      <c r="Q42" s="189"/>
      <c r="R42" s="190"/>
      <c r="S42" s="180">
        <v>0</v>
      </c>
      <c r="T42" s="8"/>
    </row>
    <row r="43" spans="1:20" x14ac:dyDescent="0.35">
      <c r="A43" s="166"/>
      <c r="B43" s="248">
        <v>47</v>
      </c>
      <c r="C43" s="249"/>
      <c r="D43" s="192" t="s">
        <v>30</v>
      </c>
      <c r="E43" s="193"/>
      <c r="F43" s="193"/>
      <c r="G43" s="193"/>
      <c r="H43" s="193"/>
      <c r="I43" s="193"/>
      <c r="J43" s="193"/>
      <c r="K43" s="193"/>
      <c r="L43" s="193"/>
      <c r="M43" s="193"/>
      <c r="N43" s="193"/>
      <c r="O43" s="193"/>
      <c r="P43" s="193"/>
      <c r="Q43" s="193"/>
      <c r="R43" s="181"/>
      <c r="S43" s="182">
        <v>0</v>
      </c>
      <c r="T43" s="8"/>
    </row>
    <row r="44" spans="1:20" x14ac:dyDescent="0.35">
      <c r="A44" s="166"/>
      <c r="B44" s="248">
        <v>48</v>
      </c>
      <c r="C44" s="249"/>
      <c r="D44" s="192" t="s">
        <v>31</v>
      </c>
      <c r="E44" s="193"/>
      <c r="F44" s="193"/>
      <c r="G44" s="193"/>
      <c r="H44" s="193"/>
      <c r="I44" s="193"/>
      <c r="J44" s="193"/>
      <c r="K44" s="193"/>
      <c r="L44" s="193"/>
      <c r="M44" s="193"/>
      <c r="N44" s="193"/>
      <c r="O44" s="193"/>
      <c r="P44" s="193"/>
      <c r="Q44" s="193"/>
      <c r="R44" s="181"/>
      <c r="S44" s="182">
        <v>0</v>
      </c>
      <c r="T44" s="8"/>
    </row>
    <row r="45" spans="1:20" x14ac:dyDescent="0.35">
      <c r="A45" s="166"/>
      <c r="B45" s="248">
        <v>49</v>
      </c>
      <c r="C45" s="249"/>
      <c r="D45" s="192" t="s">
        <v>32</v>
      </c>
      <c r="E45" s="193"/>
      <c r="F45" s="193"/>
      <c r="G45" s="193"/>
      <c r="H45" s="193"/>
      <c r="I45" s="193"/>
      <c r="J45" s="198"/>
      <c r="K45" s="198"/>
      <c r="L45" s="198"/>
      <c r="M45" s="198"/>
      <c r="N45" s="198"/>
      <c r="O45" s="198"/>
      <c r="P45" s="194"/>
      <c r="Q45" s="194"/>
      <c r="R45" s="194"/>
      <c r="S45" s="182">
        <v>0</v>
      </c>
      <c r="T45" s="8"/>
    </row>
    <row r="46" spans="1:20" x14ac:dyDescent="0.35">
      <c r="A46" s="166"/>
      <c r="B46" s="248">
        <v>50</v>
      </c>
      <c r="C46" s="249"/>
      <c r="D46" s="192" t="s">
        <v>33</v>
      </c>
      <c r="E46" s="193"/>
      <c r="F46" s="193"/>
      <c r="G46" s="193"/>
      <c r="H46" s="193"/>
      <c r="I46" s="193"/>
      <c r="J46" s="198"/>
      <c r="K46" s="198"/>
      <c r="L46" s="198"/>
      <c r="M46" s="198"/>
      <c r="N46" s="198"/>
      <c r="O46" s="198"/>
      <c r="P46" s="194"/>
      <c r="Q46" s="194"/>
      <c r="R46" s="194"/>
      <c r="S46" s="182">
        <v>0</v>
      </c>
      <c r="T46" s="8"/>
    </row>
    <row r="47" spans="1:20" x14ac:dyDescent="0.35">
      <c r="A47" s="166"/>
      <c r="B47" s="248">
        <v>51</v>
      </c>
      <c r="C47" s="249"/>
      <c r="D47" s="192" t="s">
        <v>34</v>
      </c>
      <c r="E47" s="193"/>
      <c r="F47" s="193"/>
      <c r="G47" s="193"/>
      <c r="H47" s="193"/>
      <c r="I47" s="193"/>
      <c r="J47" s="198"/>
      <c r="K47" s="198"/>
      <c r="L47" s="198"/>
      <c r="M47" s="198"/>
      <c r="N47" s="198"/>
      <c r="O47" s="198"/>
      <c r="P47" s="194"/>
      <c r="Q47" s="194"/>
      <c r="R47" s="194"/>
      <c r="S47" s="182">
        <v>0</v>
      </c>
      <c r="T47" s="8"/>
    </row>
    <row r="48" spans="1:20" x14ac:dyDescent="0.35">
      <c r="A48" s="166"/>
      <c r="B48" s="248">
        <v>52</v>
      </c>
      <c r="C48" s="249"/>
      <c r="D48" s="192" t="s">
        <v>35</v>
      </c>
      <c r="E48" s="193"/>
      <c r="F48" s="193"/>
      <c r="G48" s="193"/>
      <c r="H48" s="193"/>
      <c r="I48" s="193"/>
      <c r="J48" s="198"/>
      <c r="K48" s="198"/>
      <c r="L48" s="198"/>
      <c r="M48" s="198"/>
      <c r="N48" s="198"/>
      <c r="O48" s="198"/>
      <c r="P48" s="194"/>
      <c r="Q48" s="194"/>
      <c r="R48" s="194"/>
      <c r="S48" s="182">
        <v>0</v>
      </c>
      <c r="T48" s="8"/>
    </row>
    <row r="49" spans="1:20" x14ac:dyDescent="0.35">
      <c r="A49" s="166"/>
      <c r="B49" s="248" t="s">
        <v>36</v>
      </c>
      <c r="C49" s="249"/>
      <c r="D49" s="199" t="s">
        <v>37</v>
      </c>
      <c r="E49" s="200"/>
      <c r="F49" s="200"/>
      <c r="G49" s="200"/>
      <c r="H49" s="200"/>
      <c r="I49" s="200"/>
      <c r="J49" s="201"/>
      <c r="K49" s="201"/>
      <c r="L49" s="201"/>
      <c r="M49" s="201"/>
      <c r="N49" s="201"/>
      <c r="O49" s="201"/>
      <c r="P49" s="202"/>
      <c r="Q49" s="202"/>
      <c r="R49" s="202"/>
      <c r="S49" s="203">
        <v>0</v>
      </c>
      <c r="T49" s="8"/>
    </row>
    <row r="50" spans="1:20" ht="15" thickBot="1" x14ac:dyDescent="0.4">
      <c r="A50" s="166"/>
      <c r="B50" s="260">
        <v>53</v>
      </c>
      <c r="C50" s="261"/>
      <c r="D50" s="204" t="s">
        <v>38</v>
      </c>
      <c r="E50" s="205"/>
      <c r="F50" s="205"/>
      <c r="G50" s="205"/>
      <c r="H50" s="205"/>
      <c r="I50" s="205"/>
      <c r="J50" s="206"/>
      <c r="K50" s="206"/>
      <c r="L50" s="206"/>
      <c r="M50" s="206"/>
      <c r="N50" s="206"/>
      <c r="O50" s="206"/>
      <c r="P50" s="207"/>
      <c r="Q50" s="207"/>
      <c r="R50" s="207"/>
      <c r="S50" s="208">
        <v>0</v>
      </c>
      <c r="T50" s="8"/>
    </row>
    <row r="51" spans="1:20" x14ac:dyDescent="0.35">
      <c r="A51" s="166"/>
      <c r="B51" s="166"/>
      <c r="C51" s="166"/>
      <c r="D51" s="166"/>
      <c r="E51" s="166"/>
      <c r="F51" s="176"/>
      <c r="G51" s="176"/>
      <c r="H51" s="176"/>
      <c r="I51" s="176"/>
      <c r="J51" s="176"/>
      <c r="K51" s="176"/>
      <c r="L51" s="176"/>
      <c r="M51" s="176"/>
      <c r="N51" s="176"/>
      <c r="O51" s="176"/>
      <c r="P51" s="197"/>
      <c r="Q51" s="197"/>
      <c r="R51" s="197"/>
      <c r="S51" s="197"/>
      <c r="T51" s="197"/>
    </row>
    <row r="52" spans="1:20" ht="15" thickBot="1" x14ac:dyDescent="0.4">
      <c r="A52" s="166"/>
      <c r="B52" s="237" t="s">
        <v>39</v>
      </c>
      <c r="C52" s="237"/>
      <c r="D52" s="237"/>
      <c r="E52" s="237"/>
      <c r="F52" s="237"/>
      <c r="G52" s="237"/>
      <c r="H52" s="237"/>
      <c r="I52" s="237"/>
      <c r="J52" s="237"/>
      <c r="K52" s="237"/>
      <c r="L52" s="237"/>
      <c r="M52" s="237"/>
      <c r="N52" s="237"/>
      <c r="O52" s="237"/>
      <c r="P52" s="237"/>
      <c r="Q52" s="237"/>
      <c r="R52" s="237"/>
      <c r="S52" s="237"/>
      <c r="T52" s="197"/>
    </row>
    <row r="53" spans="1:20" ht="15" customHeight="1" x14ac:dyDescent="0.35">
      <c r="A53" s="166"/>
      <c r="B53" s="254">
        <v>64</v>
      </c>
      <c r="C53" s="255"/>
      <c r="D53" s="188" t="s">
        <v>40</v>
      </c>
      <c r="E53" s="189"/>
      <c r="F53" s="189"/>
      <c r="G53" s="189"/>
      <c r="H53" s="189"/>
      <c r="I53" s="189"/>
      <c r="J53" s="209"/>
      <c r="K53" s="209"/>
      <c r="L53" s="209"/>
      <c r="M53" s="209"/>
      <c r="N53" s="209"/>
      <c r="O53" s="209"/>
      <c r="P53" s="190"/>
      <c r="Q53" s="190"/>
      <c r="R53" s="190"/>
      <c r="S53" s="191">
        <v>30840</v>
      </c>
      <c r="T53" s="8"/>
    </row>
    <row r="54" spans="1:20" ht="15" customHeight="1" x14ac:dyDescent="0.35">
      <c r="A54" s="166"/>
      <c r="B54" s="248" t="s">
        <v>41</v>
      </c>
      <c r="C54" s="249"/>
      <c r="D54" s="192" t="s">
        <v>42</v>
      </c>
      <c r="E54" s="193"/>
      <c r="F54" s="193"/>
      <c r="G54" s="193"/>
      <c r="H54" s="193"/>
      <c r="I54" s="193"/>
      <c r="J54" s="198"/>
      <c r="K54" s="198"/>
      <c r="L54" s="198"/>
      <c r="M54" s="198"/>
      <c r="N54" s="198"/>
      <c r="O54" s="198"/>
      <c r="P54" s="194"/>
      <c r="Q54" s="194"/>
      <c r="R54" s="194"/>
      <c r="S54" s="195">
        <v>0</v>
      </c>
      <c r="T54" s="8"/>
    </row>
    <row r="55" spans="1:20" x14ac:dyDescent="0.35">
      <c r="A55" s="166"/>
      <c r="B55" s="248" t="s">
        <v>43</v>
      </c>
      <c r="C55" s="249"/>
      <c r="D55" s="192" t="s">
        <v>44</v>
      </c>
      <c r="E55" s="193"/>
      <c r="F55" s="193"/>
      <c r="G55" s="193"/>
      <c r="H55" s="193"/>
      <c r="I55" s="193"/>
      <c r="J55" s="210"/>
      <c r="K55" s="210"/>
      <c r="L55" s="210"/>
      <c r="M55" s="210"/>
      <c r="N55" s="210"/>
      <c r="O55" s="210"/>
      <c r="P55" s="181"/>
      <c r="Q55" s="181"/>
      <c r="R55" s="181"/>
      <c r="S55" s="195">
        <v>0</v>
      </c>
      <c r="T55" s="8"/>
    </row>
    <row r="56" spans="1:20" ht="29.25" customHeight="1" x14ac:dyDescent="0.35">
      <c r="A56" s="166"/>
      <c r="B56" s="248">
        <v>66</v>
      </c>
      <c r="C56" s="249"/>
      <c r="D56" s="258" t="s">
        <v>45</v>
      </c>
      <c r="E56" s="259"/>
      <c r="F56" s="259"/>
      <c r="G56" s="259"/>
      <c r="H56" s="259"/>
      <c r="I56" s="259"/>
      <c r="J56" s="259"/>
      <c r="K56" s="259"/>
      <c r="L56" s="259"/>
      <c r="M56" s="259"/>
      <c r="N56" s="259"/>
      <c r="O56" s="259"/>
      <c r="P56" s="259"/>
      <c r="Q56" s="259"/>
      <c r="R56" s="268"/>
      <c r="S56" s="195">
        <v>0</v>
      </c>
      <c r="T56" s="8"/>
    </row>
    <row r="57" spans="1:20" ht="27" customHeight="1" x14ac:dyDescent="0.35">
      <c r="A57" s="166"/>
      <c r="B57" s="248">
        <v>67</v>
      </c>
      <c r="C57" s="249"/>
      <c r="D57" s="258" t="s">
        <v>46</v>
      </c>
      <c r="E57" s="259"/>
      <c r="F57" s="259"/>
      <c r="G57" s="259"/>
      <c r="H57" s="259"/>
      <c r="I57" s="259"/>
      <c r="J57" s="259"/>
      <c r="K57" s="259"/>
      <c r="L57" s="259"/>
      <c r="M57" s="259"/>
      <c r="N57" s="259"/>
      <c r="O57" s="259"/>
      <c r="P57" s="259"/>
      <c r="Q57" s="259"/>
      <c r="R57" s="268"/>
      <c r="S57" s="195">
        <v>0</v>
      </c>
      <c r="T57" s="8"/>
    </row>
    <row r="58" spans="1:20" x14ac:dyDescent="0.35">
      <c r="A58" s="166"/>
      <c r="B58" s="248">
        <v>68</v>
      </c>
      <c r="C58" s="249"/>
      <c r="D58" s="192" t="s">
        <v>47</v>
      </c>
      <c r="E58" s="193"/>
      <c r="F58" s="193"/>
      <c r="G58" s="193"/>
      <c r="H58" s="193"/>
      <c r="I58" s="193"/>
      <c r="J58" s="210"/>
      <c r="K58" s="210"/>
      <c r="L58" s="210"/>
      <c r="M58" s="210"/>
      <c r="N58" s="210"/>
      <c r="O58" s="210"/>
      <c r="P58" s="181"/>
      <c r="Q58" s="181"/>
      <c r="R58" s="181"/>
      <c r="S58" s="195">
        <v>0</v>
      </c>
      <c r="T58" s="8"/>
    </row>
    <row r="59" spans="1:20" x14ac:dyDescent="0.35">
      <c r="A59" s="166"/>
      <c r="B59" s="248">
        <v>69</v>
      </c>
      <c r="C59" s="249"/>
      <c r="D59" s="192" t="s">
        <v>48</v>
      </c>
      <c r="E59" s="193"/>
      <c r="F59" s="193"/>
      <c r="G59" s="193"/>
      <c r="H59" s="193"/>
      <c r="I59" s="193"/>
      <c r="J59" s="210"/>
      <c r="K59" s="210"/>
      <c r="L59" s="210"/>
      <c r="M59" s="210"/>
      <c r="N59" s="210"/>
      <c r="O59" s="210"/>
      <c r="P59" s="181"/>
      <c r="Q59" s="181"/>
      <c r="R59" s="181"/>
      <c r="S59" s="195">
        <v>0</v>
      </c>
      <c r="T59" s="8"/>
    </row>
    <row r="60" spans="1:20" x14ac:dyDescent="0.35">
      <c r="A60" s="166"/>
      <c r="B60" s="248" t="s">
        <v>49</v>
      </c>
      <c r="C60" s="249"/>
      <c r="D60" s="199" t="s">
        <v>50</v>
      </c>
      <c r="E60" s="200"/>
      <c r="F60" s="200"/>
      <c r="G60" s="200"/>
      <c r="H60" s="200"/>
      <c r="I60" s="200"/>
      <c r="J60" s="211"/>
      <c r="K60" s="211"/>
      <c r="L60" s="211"/>
      <c r="M60" s="211"/>
      <c r="N60" s="211"/>
      <c r="O60" s="211"/>
      <c r="P60" s="212"/>
      <c r="Q60" s="212"/>
      <c r="R60" s="212"/>
      <c r="S60" s="213">
        <v>0</v>
      </c>
      <c r="T60" s="8"/>
    </row>
    <row r="61" spans="1:20" x14ac:dyDescent="0.35">
      <c r="A61" s="166"/>
      <c r="B61" s="248" t="s">
        <v>51</v>
      </c>
      <c r="C61" s="249"/>
      <c r="D61" s="199" t="s">
        <v>52</v>
      </c>
      <c r="E61" s="200"/>
      <c r="F61" s="200"/>
      <c r="G61" s="200"/>
      <c r="H61" s="200"/>
      <c r="I61" s="200"/>
      <c r="J61" s="211"/>
      <c r="K61" s="211"/>
      <c r="L61" s="211"/>
      <c r="M61" s="211"/>
      <c r="N61" s="211"/>
      <c r="O61" s="211"/>
      <c r="P61" s="212"/>
      <c r="Q61" s="212"/>
      <c r="R61" s="212"/>
      <c r="S61" s="213">
        <v>0</v>
      </c>
      <c r="T61" s="8"/>
    </row>
    <row r="62" spans="1:20" ht="15" thickBot="1" x14ac:dyDescent="0.4">
      <c r="A62" s="166"/>
      <c r="B62" s="260">
        <v>72</v>
      </c>
      <c r="C62" s="261"/>
      <c r="D62" s="204" t="s">
        <v>53</v>
      </c>
      <c r="E62" s="205"/>
      <c r="F62" s="205"/>
      <c r="G62" s="205"/>
      <c r="H62" s="205"/>
      <c r="I62" s="205"/>
      <c r="J62" s="214"/>
      <c r="K62" s="214"/>
      <c r="L62" s="214"/>
      <c r="M62" s="214"/>
      <c r="N62" s="214"/>
      <c r="O62" s="214"/>
      <c r="P62" s="183"/>
      <c r="Q62" s="183"/>
      <c r="R62" s="183"/>
      <c r="S62" s="196">
        <v>0</v>
      </c>
      <c r="T62" s="8"/>
    </row>
    <row r="63" spans="1:20" x14ac:dyDescent="0.35">
      <c r="A63" s="166"/>
      <c r="B63" s="167"/>
      <c r="C63" s="167"/>
      <c r="D63" s="215"/>
      <c r="E63" s="215"/>
      <c r="F63" s="215"/>
      <c r="G63" s="215"/>
      <c r="H63" s="215"/>
      <c r="I63" s="215"/>
      <c r="J63" s="215"/>
      <c r="K63" s="215"/>
      <c r="L63" s="215"/>
      <c r="M63" s="215"/>
      <c r="N63" s="215"/>
      <c r="O63" s="215"/>
      <c r="P63" s="216"/>
      <c r="Q63" s="216"/>
      <c r="R63" s="216"/>
      <c r="S63" s="216"/>
      <c r="T63" s="8"/>
    </row>
    <row r="64" spans="1:20" x14ac:dyDescent="0.35">
      <c r="A64" s="152"/>
      <c r="B64" s="10"/>
      <c r="C64" s="2"/>
      <c r="D64" s="275"/>
      <c r="E64" s="275"/>
      <c r="F64" s="275"/>
      <c r="G64" s="275"/>
      <c r="H64" s="275"/>
      <c r="I64" s="275"/>
      <c r="J64" s="275"/>
      <c r="K64" s="275"/>
      <c r="L64" s="275"/>
      <c r="M64" s="275"/>
      <c r="N64" s="275"/>
      <c r="O64" s="275"/>
      <c r="P64" s="275"/>
      <c r="Q64" s="275"/>
      <c r="R64" s="275"/>
      <c r="S64" s="275"/>
      <c r="T64" s="152"/>
    </row>
    <row r="65" spans="1:20" x14ac:dyDescent="0.35">
      <c r="A65" s="152"/>
      <c r="B65" s="11" t="str">
        <f>IF(S19&gt;=4000,"x","")</f>
        <v/>
      </c>
      <c r="C65" s="152"/>
      <c r="D65" s="274" t="s">
        <v>54</v>
      </c>
      <c r="E65" s="274"/>
      <c r="F65" s="274"/>
      <c r="G65" s="274"/>
      <c r="H65" s="274"/>
      <c r="I65" s="274"/>
      <c r="J65" s="274"/>
      <c r="K65" s="274"/>
      <c r="L65" s="274"/>
      <c r="M65" s="274"/>
      <c r="N65" s="274"/>
      <c r="O65" s="274"/>
      <c r="P65" s="274"/>
      <c r="Q65" s="274"/>
      <c r="R65" s="274"/>
      <c r="S65" s="274"/>
      <c r="T65" s="153"/>
    </row>
    <row r="66" spans="1:20" x14ac:dyDescent="0.35">
      <c r="A66" s="152"/>
      <c r="B66" s="223"/>
      <c r="C66" s="152"/>
      <c r="D66" s="222"/>
      <c r="E66" s="222"/>
      <c r="F66" s="222"/>
      <c r="G66" s="222"/>
      <c r="H66" s="222"/>
      <c r="I66" s="222"/>
      <c r="J66" s="222"/>
      <c r="K66" s="222"/>
      <c r="L66" s="222"/>
      <c r="M66" s="222"/>
      <c r="N66" s="222"/>
      <c r="O66" s="222"/>
      <c r="P66" s="222"/>
      <c r="Q66" s="222"/>
      <c r="R66" s="222"/>
      <c r="S66" s="222"/>
      <c r="T66" s="153"/>
    </row>
    <row r="67" spans="1:20" x14ac:dyDescent="0.35">
      <c r="A67" s="152"/>
      <c r="B67" s="11" t="str">
        <f>IF(_31&gt;226800,"x","")</f>
        <v/>
      </c>
      <c r="C67" s="152"/>
      <c r="D67" s="274" t="s">
        <v>194</v>
      </c>
      <c r="E67" s="274"/>
      <c r="F67" s="274"/>
      <c r="G67" s="274"/>
      <c r="H67" s="274"/>
      <c r="I67" s="274"/>
      <c r="J67" s="274"/>
      <c r="K67" s="274"/>
      <c r="L67" s="274"/>
      <c r="M67" s="274"/>
      <c r="N67" s="274"/>
      <c r="O67" s="274"/>
      <c r="P67" s="274"/>
      <c r="Q67" s="274"/>
      <c r="R67" s="274"/>
      <c r="S67" s="274"/>
      <c r="T67" s="153"/>
    </row>
    <row r="68" spans="1:20" x14ac:dyDescent="0.35">
      <c r="A68" s="152"/>
      <c r="B68" s="223"/>
      <c r="C68" s="152"/>
      <c r="D68" s="222"/>
      <c r="E68" s="222"/>
      <c r="F68" s="222"/>
      <c r="G68" s="222"/>
      <c r="H68" s="222"/>
      <c r="I68" s="222"/>
      <c r="J68" s="222"/>
      <c r="K68" s="222"/>
      <c r="L68" s="222"/>
      <c r="M68" s="222"/>
      <c r="N68" s="222"/>
      <c r="O68" s="222"/>
      <c r="P68" s="222"/>
      <c r="Q68" s="222"/>
      <c r="R68" s="222"/>
      <c r="S68" s="222"/>
      <c r="T68" s="153"/>
    </row>
    <row r="69" spans="1:20" ht="26.25" customHeight="1" x14ac:dyDescent="0.35">
      <c r="A69" s="151"/>
      <c r="B69" s="12"/>
      <c r="C69" s="152"/>
      <c r="D69" s="275" t="s">
        <v>55</v>
      </c>
      <c r="E69" s="275"/>
      <c r="F69" s="275"/>
      <c r="G69" s="275"/>
      <c r="H69" s="275"/>
      <c r="I69" s="275"/>
      <c r="J69" s="275"/>
      <c r="K69" s="275"/>
      <c r="L69" s="275"/>
      <c r="M69" s="275"/>
      <c r="N69" s="275"/>
      <c r="O69" s="275"/>
      <c r="P69" s="275"/>
      <c r="Q69" s="275"/>
      <c r="R69" s="275"/>
      <c r="S69" s="275"/>
      <c r="T69" s="150"/>
    </row>
    <row r="70" spans="1:20" x14ac:dyDescent="0.35">
      <c r="A70" s="152"/>
      <c r="B70" s="5"/>
      <c r="C70" s="152"/>
      <c r="D70" s="273" t="s">
        <v>56</v>
      </c>
      <c r="E70" s="272"/>
      <c r="F70" s="272"/>
      <c r="G70" s="272"/>
      <c r="H70" s="272"/>
      <c r="I70" s="272"/>
      <c r="J70" s="272"/>
      <c r="K70" s="272"/>
      <c r="L70" s="272"/>
      <c r="M70" s="272"/>
      <c r="N70" s="272"/>
      <c r="O70" s="272"/>
      <c r="P70" s="272"/>
      <c r="Q70" s="272"/>
      <c r="R70" s="272"/>
      <c r="S70" s="272"/>
      <c r="T70" s="153"/>
    </row>
    <row r="71" spans="1:20" x14ac:dyDescent="0.35">
      <c r="A71" s="151"/>
      <c r="B71" s="12"/>
      <c r="C71" s="152"/>
      <c r="D71" s="151"/>
      <c r="E71" s="151"/>
      <c r="F71" s="151"/>
      <c r="G71" s="151"/>
      <c r="H71" s="151"/>
      <c r="I71" s="152"/>
      <c r="J71" s="152"/>
      <c r="K71" s="152"/>
      <c r="L71" s="152"/>
      <c r="M71" s="152"/>
      <c r="N71" s="152"/>
      <c r="O71" s="152"/>
      <c r="P71" s="151"/>
      <c r="Q71" s="151"/>
      <c r="R71" s="151"/>
      <c r="S71" s="151"/>
      <c r="T71" s="150"/>
    </row>
    <row r="72" spans="1:20" x14ac:dyDescent="0.35">
      <c r="A72" s="152"/>
      <c r="B72" s="5"/>
      <c r="C72" s="152"/>
      <c r="D72" s="272" t="s">
        <v>57</v>
      </c>
      <c r="E72" s="272"/>
      <c r="F72" s="272"/>
      <c r="G72" s="272"/>
      <c r="H72" s="272"/>
      <c r="I72" s="272"/>
      <c r="J72" s="272"/>
      <c r="K72" s="272"/>
      <c r="L72" s="272"/>
      <c r="M72" s="272"/>
      <c r="N72" s="272"/>
      <c r="O72" s="272"/>
      <c r="P72" s="272"/>
      <c r="Q72" s="272"/>
      <c r="R72" s="272"/>
      <c r="S72" s="272"/>
      <c r="T72" s="153"/>
    </row>
    <row r="73" spans="1:20" ht="14.25" customHeight="1" x14ac:dyDescent="0.35">
      <c r="A73" s="151"/>
      <c r="B73" s="12"/>
      <c r="C73" s="152"/>
      <c r="D73" s="151"/>
      <c r="E73" s="151"/>
      <c r="F73" s="151"/>
      <c r="G73" s="151"/>
      <c r="H73" s="151"/>
      <c r="I73" s="152"/>
      <c r="J73" s="152"/>
      <c r="K73" s="152"/>
      <c r="L73" s="152"/>
      <c r="M73" s="152"/>
      <c r="N73" s="152"/>
      <c r="O73" s="152"/>
      <c r="P73" s="151"/>
      <c r="Q73" s="151"/>
      <c r="R73" s="151"/>
      <c r="S73" s="151"/>
      <c r="T73" s="150"/>
    </row>
    <row r="74" spans="1:20" x14ac:dyDescent="0.35">
      <c r="A74" s="152"/>
      <c r="B74" s="5"/>
      <c r="C74" s="152"/>
      <c r="D74" s="272" t="s">
        <v>58</v>
      </c>
      <c r="E74" s="272"/>
      <c r="F74" s="272"/>
      <c r="G74" s="272"/>
      <c r="H74" s="272"/>
      <c r="I74" s="272"/>
      <c r="J74" s="272"/>
      <c r="K74" s="272"/>
      <c r="L74" s="272"/>
      <c r="M74" s="272"/>
      <c r="N74" s="272"/>
      <c r="O74" s="272"/>
      <c r="P74" s="272"/>
      <c r="Q74" s="272"/>
      <c r="R74" s="272"/>
      <c r="S74" s="272"/>
      <c r="T74" s="153"/>
    </row>
    <row r="75" spans="1:20" ht="14.25" customHeight="1" x14ac:dyDescent="0.35">
      <c r="A75" s="151"/>
      <c r="B75" s="12"/>
      <c r="C75" s="152"/>
      <c r="D75" s="151"/>
      <c r="E75" s="151"/>
      <c r="F75" s="151"/>
      <c r="G75" s="151"/>
      <c r="H75" s="151"/>
      <c r="I75" s="152"/>
      <c r="J75" s="152"/>
      <c r="K75" s="152"/>
      <c r="L75" s="152"/>
      <c r="M75" s="152"/>
      <c r="N75" s="152"/>
      <c r="O75" s="152"/>
      <c r="P75" s="151"/>
      <c r="Q75" s="151"/>
      <c r="R75" s="151"/>
      <c r="S75" s="151"/>
      <c r="T75" s="150"/>
    </row>
    <row r="76" spans="1:20" ht="15" customHeight="1" x14ac:dyDescent="0.35">
      <c r="A76" s="152"/>
      <c r="B76" s="5"/>
      <c r="C76" s="152"/>
      <c r="D76" s="272" t="s">
        <v>59</v>
      </c>
      <c r="E76" s="272"/>
      <c r="F76" s="272"/>
      <c r="G76" s="272"/>
      <c r="H76" s="272"/>
      <c r="I76" s="272"/>
      <c r="J76" s="272"/>
      <c r="K76" s="272"/>
      <c r="L76" s="272"/>
      <c r="M76" s="272"/>
      <c r="N76" s="272"/>
      <c r="O76" s="272"/>
      <c r="P76" s="272"/>
      <c r="Q76" s="272"/>
      <c r="R76" s="272"/>
      <c r="S76" s="272"/>
      <c r="T76" s="153"/>
    </row>
    <row r="77" spans="1:20" ht="0.75" hidden="1" customHeight="1" x14ac:dyDescent="0.35">
      <c r="A77" s="151"/>
      <c r="B77" s="12"/>
      <c r="C77" s="152"/>
      <c r="D77" s="151"/>
      <c r="E77" s="151"/>
      <c r="F77" s="151"/>
      <c r="G77" s="151"/>
      <c r="H77" s="151"/>
      <c r="I77" s="152"/>
      <c r="J77" s="152"/>
      <c r="K77" s="152"/>
      <c r="L77" s="152"/>
      <c r="M77" s="152"/>
      <c r="N77" s="152"/>
      <c r="O77" s="152"/>
      <c r="P77" s="151"/>
      <c r="Q77" s="151"/>
      <c r="R77" s="151"/>
      <c r="S77" s="151"/>
      <c r="T77" s="150"/>
    </row>
    <row r="78" spans="1:20" ht="21" hidden="1" customHeight="1" x14ac:dyDescent="0.35">
      <c r="A78" s="152"/>
      <c r="B78" s="5"/>
      <c r="C78" s="152"/>
      <c r="D78" s="273" t="s">
        <v>60</v>
      </c>
      <c r="E78" s="272"/>
      <c r="F78" s="272"/>
      <c r="G78" s="272"/>
      <c r="H78" s="272"/>
      <c r="I78" s="272"/>
      <c r="J78" s="272"/>
      <c r="K78" s="272"/>
      <c r="L78" s="272"/>
      <c r="M78" s="272"/>
      <c r="N78" s="272"/>
      <c r="O78" s="272"/>
      <c r="P78" s="272"/>
      <c r="Q78" s="272"/>
      <c r="R78" s="272"/>
      <c r="S78" s="272"/>
      <c r="T78" s="153"/>
    </row>
    <row r="79" spans="1:20" ht="10.5" customHeight="1" x14ac:dyDescent="0.35">
      <c r="A79" s="151"/>
      <c r="B79" s="12"/>
      <c r="C79" s="152"/>
      <c r="D79" s="151"/>
      <c r="E79" s="151"/>
      <c r="F79" s="151"/>
      <c r="G79" s="151"/>
      <c r="H79" s="151"/>
      <c r="I79" s="152"/>
      <c r="J79" s="152"/>
      <c r="K79" s="152"/>
      <c r="L79" s="152"/>
      <c r="M79" s="152"/>
      <c r="N79" s="152"/>
      <c r="O79" s="152"/>
      <c r="P79" s="151"/>
      <c r="Q79" s="151"/>
      <c r="R79" s="151"/>
      <c r="S79" s="151"/>
      <c r="T79" s="150"/>
    </row>
    <row r="80" spans="1:20" ht="15.75" customHeight="1" x14ac:dyDescent="0.35">
      <c r="A80" s="152"/>
      <c r="B80" s="5"/>
      <c r="C80" s="152"/>
      <c r="D80" s="272" t="s">
        <v>61</v>
      </c>
      <c r="E80" s="272"/>
      <c r="F80" s="272"/>
      <c r="G80" s="272"/>
      <c r="H80" s="272"/>
      <c r="I80" s="272"/>
      <c r="J80" s="272"/>
      <c r="K80" s="272"/>
      <c r="L80" s="272"/>
      <c r="M80" s="272"/>
      <c r="N80" s="272"/>
      <c r="O80" s="272"/>
      <c r="P80" s="272"/>
      <c r="Q80" s="272"/>
      <c r="R80" s="272"/>
      <c r="S80" s="272"/>
      <c r="T80" s="153"/>
    </row>
    <row r="81" spans="1:20" ht="14.25" customHeight="1" x14ac:dyDescent="0.35">
      <c r="A81" s="151"/>
      <c r="B81" s="13"/>
      <c r="C81" s="151"/>
      <c r="D81" s="151"/>
      <c r="E81" s="151"/>
      <c r="F81" s="151"/>
      <c r="G81" s="151"/>
      <c r="H81" s="151"/>
      <c r="I81" s="151"/>
      <c r="J81" s="151"/>
      <c r="K81" s="151"/>
      <c r="L81" s="151"/>
      <c r="M81" s="151"/>
      <c r="N81" s="151"/>
      <c r="O81" s="151"/>
      <c r="P81" s="151"/>
      <c r="Q81" s="151"/>
      <c r="R81" s="151"/>
      <c r="S81" s="151"/>
      <c r="T81" s="150"/>
    </row>
    <row r="82" spans="1:20" hidden="1" x14ac:dyDescent="0.35">
      <c r="A82" s="152"/>
      <c r="B82" s="14"/>
      <c r="C82" s="2"/>
      <c r="D82" s="2"/>
      <c r="E82" s="2"/>
      <c r="F82" s="2"/>
      <c r="G82" s="2"/>
      <c r="H82" s="2"/>
      <c r="I82" s="2"/>
      <c r="J82" s="2"/>
      <c r="K82" s="2"/>
      <c r="L82" s="2"/>
      <c r="M82" s="2"/>
      <c r="N82" s="2"/>
      <c r="O82" s="2"/>
      <c r="P82" s="2"/>
      <c r="Q82" s="2"/>
      <c r="R82" s="2"/>
      <c r="S82" s="2"/>
      <c r="T82" s="153"/>
    </row>
    <row r="83" spans="1:20" x14ac:dyDescent="0.35">
      <c r="A83" s="152"/>
      <c r="B83" s="5"/>
      <c r="C83" s="152"/>
      <c r="D83" s="272" t="s">
        <v>62</v>
      </c>
      <c r="E83" s="272"/>
      <c r="F83" s="272"/>
      <c r="G83" s="272"/>
      <c r="H83" s="272"/>
      <c r="I83" s="272"/>
      <c r="J83" s="272"/>
      <c r="K83" s="272"/>
      <c r="L83" s="272"/>
      <c r="M83" s="272"/>
      <c r="N83" s="272"/>
      <c r="O83" s="272"/>
      <c r="P83" s="272"/>
      <c r="Q83" s="272"/>
      <c r="R83" s="272"/>
      <c r="S83" s="272"/>
      <c r="T83" s="153"/>
    </row>
    <row r="84" spans="1:20" x14ac:dyDescent="0.35">
      <c r="A84" s="151"/>
      <c r="B84" s="12"/>
      <c r="C84" s="152"/>
      <c r="D84" s="151"/>
      <c r="E84" s="151"/>
      <c r="F84" s="151"/>
      <c r="G84" s="151"/>
      <c r="H84" s="151"/>
      <c r="I84" s="151"/>
      <c r="J84" s="151"/>
      <c r="K84" s="151"/>
      <c r="L84" s="151"/>
      <c r="M84" s="151"/>
      <c r="N84" s="151"/>
      <c r="O84" s="151"/>
      <c r="P84" s="151"/>
      <c r="Q84" s="151"/>
      <c r="R84" s="151"/>
      <c r="S84" s="151"/>
      <c r="T84" s="150"/>
    </row>
    <row r="85" spans="1:20" x14ac:dyDescent="0.35">
      <c r="A85" s="152"/>
      <c r="B85" s="5"/>
      <c r="C85" s="15"/>
      <c r="D85" s="272" t="s">
        <v>63</v>
      </c>
      <c r="E85" s="272"/>
      <c r="F85" s="272"/>
      <c r="G85" s="272"/>
      <c r="H85" s="272"/>
      <c r="I85" s="272"/>
      <c r="J85" s="272"/>
      <c r="K85" s="272"/>
      <c r="L85" s="272"/>
      <c r="M85" s="272"/>
      <c r="N85" s="272"/>
      <c r="O85" s="272"/>
      <c r="P85" s="272"/>
      <c r="Q85" s="272"/>
      <c r="R85" s="272"/>
      <c r="S85" s="272"/>
      <c r="T85" s="153"/>
    </row>
    <row r="86" spans="1:20" x14ac:dyDescent="0.35">
      <c r="A86" s="151"/>
      <c r="B86" s="12"/>
      <c r="C86" s="152"/>
      <c r="D86" s="151"/>
      <c r="E86" s="151"/>
      <c r="F86" s="151"/>
      <c r="G86" s="151"/>
      <c r="H86" s="151"/>
      <c r="I86" s="151"/>
      <c r="J86" s="151"/>
      <c r="K86" s="151"/>
      <c r="L86" s="151"/>
      <c r="M86" s="151"/>
      <c r="N86" s="151"/>
      <c r="O86" s="151"/>
      <c r="P86" s="151"/>
      <c r="Q86" s="151"/>
      <c r="R86" s="151"/>
      <c r="S86" s="151"/>
      <c r="T86" s="150"/>
    </row>
    <row r="87" spans="1:20" x14ac:dyDescent="0.35">
      <c r="A87" s="152"/>
      <c r="B87" s="5"/>
      <c r="C87" s="152"/>
      <c r="D87" s="273" t="s">
        <v>64</v>
      </c>
      <c r="E87" s="272"/>
      <c r="F87" s="272"/>
      <c r="G87" s="272"/>
      <c r="H87" s="272"/>
      <c r="I87" s="272"/>
      <c r="J87" s="272"/>
      <c r="K87" s="272"/>
      <c r="L87" s="272"/>
      <c r="M87" s="272"/>
      <c r="N87" s="272"/>
      <c r="O87" s="272"/>
      <c r="P87" s="272"/>
      <c r="Q87" s="272"/>
      <c r="R87" s="272"/>
      <c r="S87" s="272"/>
      <c r="T87" s="153"/>
    </row>
    <row r="88" spans="1:20" x14ac:dyDescent="0.35">
      <c r="A88" s="152"/>
      <c r="B88" s="16"/>
      <c r="C88" s="152"/>
      <c r="D88" s="272" t="s">
        <v>65</v>
      </c>
      <c r="E88" s="272"/>
      <c r="F88" s="272"/>
      <c r="G88" s="272"/>
      <c r="H88" s="272"/>
      <c r="I88" s="272"/>
      <c r="J88" s="272"/>
      <c r="K88" s="272"/>
      <c r="L88" s="272"/>
      <c r="M88" s="272"/>
      <c r="N88" s="272"/>
      <c r="O88" s="272"/>
      <c r="P88" s="272"/>
      <c r="Q88" s="272"/>
      <c r="R88" s="272"/>
      <c r="S88" s="272"/>
      <c r="T88" s="153"/>
    </row>
    <row r="89" spans="1:20" x14ac:dyDescent="0.35">
      <c r="A89" s="151"/>
      <c r="B89" s="16"/>
      <c r="C89" s="152"/>
      <c r="D89" s="151"/>
      <c r="E89" s="151"/>
      <c r="F89" s="151"/>
      <c r="G89" s="151"/>
      <c r="H89" s="151"/>
      <c r="I89" s="151"/>
      <c r="J89" s="151"/>
      <c r="K89" s="151"/>
      <c r="L89" s="151"/>
      <c r="M89" s="151"/>
      <c r="N89" s="151"/>
      <c r="O89" s="151"/>
      <c r="P89" s="151"/>
      <c r="Q89" s="151"/>
      <c r="R89" s="151"/>
      <c r="S89" s="151"/>
      <c r="T89" s="150"/>
    </row>
    <row r="90" spans="1:20" x14ac:dyDescent="0.35">
      <c r="A90" s="152"/>
      <c r="B90" s="5"/>
      <c r="C90" s="152"/>
      <c r="D90" s="272" t="s">
        <v>66</v>
      </c>
      <c r="E90" s="272"/>
      <c r="F90" s="272"/>
      <c r="G90" s="272"/>
      <c r="H90" s="272"/>
      <c r="I90" s="272"/>
      <c r="J90" s="272"/>
      <c r="K90" s="272"/>
      <c r="L90" s="272"/>
      <c r="M90" s="272"/>
      <c r="N90" s="272"/>
      <c r="O90" s="272"/>
      <c r="P90" s="272"/>
      <c r="Q90" s="272"/>
      <c r="R90" s="272"/>
      <c r="S90" s="272"/>
      <c r="T90" s="153"/>
    </row>
    <row r="91" spans="1:20" x14ac:dyDescent="0.35">
      <c r="A91" s="151"/>
      <c r="B91" s="12"/>
      <c r="C91" s="152"/>
      <c r="D91" s="151"/>
      <c r="E91" s="151"/>
      <c r="F91" s="151"/>
      <c r="G91" s="151"/>
      <c r="H91" s="151"/>
      <c r="I91" s="151"/>
      <c r="J91" s="151"/>
      <c r="K91" s="151"/>
      <c r="L91" s="151"/>
      <c r="M91" s="151"/>
      <c r="N91" s="151"/>
      <c r="O91" s="151"/>
      <c r="P91" s="151"/>
      <c r="Q91" s="151"/>
      <c r="R91" s="151"/>
      <c r="S91" s="151"/>
      <c r="T91" s="150"/>
    </row>
    <row r="92" spans="1:20" x14ac:dyDescent="0.35">
      <c r="A92" s="152"/>
      <c r="B92" s="5"/>
      <c r="C92" s="152"/>
      <c r="D92" s="273" t="s">
        <v>67</v>
      </c>
      <c r="E92" s="272"/>
      <c r="F92" s="272"/>
      <c r="G92" s="272"/>
      <c r="H92" s="272"/>
      <c r="I92" s="272"/>
      <c r="J92" s="272"/>
      <c r="K92" s="272"/>
      <c r="L92" s="272"/>
      <c r="M92" s="272"/>
      <c r="N92" s="272"/>
      <c r="O92" s="272"/>
      <c r="P92" s="272"/>
      <c r="Q92" s="272"/>
      <c r="R92" s="272"/>
      <c r="S92" s="272"/>
      <c r="T92" s="153"/>
    </row>
    <row r="93" spans="1:20" ht="13.5" customHeight="1" x14ac:dyDescent="0.35">
      <c r="A93" s="151"/>
      <c r="B93" s="154"/>
      <c r="C93" s="151"/>
      <c r="D93" s="151"/>
      <c r="E93" s="151"/>
      <c r="F93" s="151"/>
      <c r="G93" s="151"/>
      <c r="H93" s="151"/>
      <c r="I93" s="151"/>
      <c r="J93" s="151"/>
      <c r="K93" s="151"/>
      <c r="L93" s="151"/>
      <c r="M93" s="151"/>
      <c r="N93" s="151"/>
      <c r="O93" s="151"/>
      <c r="P93" s="151"/>
      <c r="Q93" s="151"/>
      <c r="R93" s="151"/>
      <c r="S93" s="151"/>
      <c r="T93" s="150"/>
    </row>
    <row r="94" spans="1:20" ht="13.5" customHeight="1" x14ac:dyDescent="0.35">
      <c r="A94" s="217"/>
      <c r="B94" s="149" t="s">
        <v>68</v>
      </c>
      <c r="C94" s="217"/>
      <c r="D94" s="217"/>
      <c r="E94" s="217"/>
      <c r="F94" s="217"/>
      <c r="G94" s="217"/>
      <c r="H94" s="217"/>
      <c r="I94" s="217"/>
      <c r="J94" s="217"/>
      <c r="K94" s="217"/>
      <c r="L94" s="217"/>
      <c r="M94" s="217"/>
      <c r="N94" s="217"/>
      <c r="O94" s="217"/>
      <c r="P94" s="217"/>
      <c r="Q94" s="217"/>
      <c r="R94" s="217"/>
      <c r="S94" s="217"/>
      <c r="T94" s="158"/>
    </row>
    <row r="95" spans="1:20" s="145" customFormat="1" ht="13.5" customHeight="1" x14ac:dyDescent="0.35">
      <c r="A95" s="217"/>
      <c r="B95" s="218" t="s">
        <v>69</v>
      </c>
      <c r="C95" s="217"/>
      <c r="D95" s="217"/>
      <c r="E95" s="217"/>
      <c r="F95" s="217"/>
      <c r="G95" s="217"/>
      <c r="H95" s="217"/>
      <c r="I95" s="217"/>
      <c r="J95" s="217"/>
      <c r="K95" s="217"/>
      <c r="L95" s="219"/>
      <c r="M95" s="220"/>
      <c r="O95" s="144"/>
      <c r="Q95" s="143" t="s">
        <v>70</v>
      </c>
      <c r="R95" s="220"/>
      <c r="S95" s="143" t="s">
        <v>71</v>
      </c>
      <c r="T95" s="220"/>
    </row>
    <row r="96" spans="1:20" s="145" customFormat="1" ht="13.5" customHeight="1" x14ac:dyDescent="0.35">
      <c r="A96" s="217"/>
      <c r="B96" s="146" t="s">
        <v>72</v>
      </c>
      <c r="C96" s="221"/>
      <c r="D96" s="221"/>
      <c r="E96" s="221"/>
      <c r="F96" s="221"/>
      <c r="G96" s="221"/>
      <c r="H96" s="221"/>
      <c r="I96" s="221"/>
      <c r="J96" s="221"/>
      <c r="K96" s="221"/>
      <c r="L96" s="221"/>
      <c r="M96" s="220"/>
      <c r="O96" s="147"/>
      <c r="Q96" s="233">
        <f>prijmy!C3</f>
        <v>0</v>
      </c>
      <c r="R96" s="226"/>
      <c r="S96" s="233">
        <f>IF(AND(_PZZ1_ &gt;= 0,_PZP1_ &gt;= 0,_OP1_ &gt;= 0),_PZZ1_,IF(AND(AND(_PZZ1_ &gt;= 0,_PZP1_ &lt; 0,_OP1_ &gt;=0),_PZZ1_ + _PZP1_/12  &gt;=  0),_PZZ1_ + _PZP1_/12,IF(AND(AND(_PZZ1_ &gt;= 0,_PZP1_ &gt;= 0,_OP1_ &lt; 0),_OP1_ + _PZZ1_ &gt;= 0),_OP1_ + _PZZ1_,IF(AND(AND(_PZZ1_&gt;= 0,_PZP1_&lt; 0,_OP1_&lt; 0),_OP1_+_PZP1_/12+_PZZ1_&gt;= 0),_OP1_+_PZP1_/12+_PZZ1_,0))))</f>
        <v>0</v>
      </c>
      <c r="T96" s="220"/>
    </row>
    <row r="97" spans="1:20" s="145" customFormat="1" ht="13.5" customHeight="1" x14ac:dyDescent="0.35">
      <c r="A97" s="217"/>
      <c r="B97" s="148" t="s">
        <v>73</v>
      </c>
      <c r="C97" s="217"/>
      <c r="D97" s="217"/>
      <c r="E97" s="217"/>
      <c r="F97" s="217"/>
      <c r="G97" s="217"/>
      <c r="H97" s="217"/>
      <c r="I97" s="217"/>
      <c r="J97" s="217"/>
      <c r="K97" s="217"/>
      <c r="L97" s="219"/>
      <c r="M97" s="220"/>
      <c r="O97" s="144"/>
      <c r="Q97" s="144"/>
      <c r="R97" s="226"/>
      <c r="S97" s="144"/>
      <c r="T97" s="220"/>
    </row>
    <row r="98" spans="1:20" s="145" customFormat="1" ht="13.5" customHeight="1" x14ac:dyDescent="0.35">
      <c r="A98" s="217"/>
      <c r="B98" s="146" t="s">
        <v>74</v>
      </c>
      <c r="C98" s="221"/>
      <c r="D98" s="221"/>
      <c r="E98" s="221"/>
      <c r="F98" s="221"/>
      <c r="G98" s="221"/>
      <c r="H98" s="221"/>
      <c r="I98" s="221"/>
      <c r="J98" s="221"/>
      <c r="K98" s="221"/>
      <c r="L98" s="221"/>
      <c r="M98" s="220"/>
      <c r="O98" s="147"/>
      <c r="Q98" s="233">
        <f>prijmy!C11</f>
        <v>0</v>
      </c>
      <c r="R98" s="226"/>
      <c r="S98" s="233">
        <f>IF(OR(_PZP1_&lt;0,AND(AND(_PZZ1_&gt;=0,_PZP1_&gt;=0,_OP1_&lt;0),_OP1_+_PZZ1_+_PZP1_/12&lt;0)),0,IF(OR((AND(_PZZ1_&gt;=0,_PZP1_&gt;=0,_OP1_&gt;=0)),AND(AND(_PZZ1_&gt;=0,_PZP1_&gt;= 0,_OP1_&lt;0),(_OP1_+_PZZ1_&gt;=0))),_PZP1_,IF(AND(AND(_PZZ1_ &gt;= 0,_PZP1_ &gt;= 0,_OP1_ &lt; 0),_OP1_ + _PZZ1_ + _PZP1_/12  &gt;= 0),(_OP1_ + _PZZ1_ + _PZP1_/12)*12)))</f>
        <v>0</v>
      </c>
      <c r="T98" s="220"/>
    </row>
    <row r="99" spans="1:20" s="145" customFormat="1" ht="13.5" customHeight="1" x14ac:dyDescent="0.35">
      <c r="A99" s="217"/>
      <c r="B99" s="148" t="s">
        <v>75</v>
      </c>
      <c r="C99" s="217"/>
      <c r="D99" s="217"/>
      <c r="E99" s="217"/>
      <c r="F99" s="217"/>
      <c r="G99" s="217"/>
      <c r="H99" s="217"/>
      <c r="I99" s="217"/>
      <c r="J99" s="217"/>
      <c r="K99" s="217"/>
      <c r="L99" s="219"/>
      <c r="M99" s="220"/>
      <c r="O99" s="144"/>
      <c r="Q99" s="144"/>
      <c r="R99" s="226"/>
      <c r="S99" s="227"/>
      <c r="T99" s="220"/>
    </row>
    <row r="100" spans="1:20" s="145" customFormat="1" ht="12.75" customHeight="1" x14ac:dyDescent="0.35">
      <c r="A100" s="217"/>
      <c r="B100" s="149" t="s">
        <v>76</v>
      </c>
      <c r="C100" s="217"/>
      <c r="D100" s="217"/>
      <c r="E100" s="217"/>
      <c r="F100" s="217"/>
      <c r="G100" s="217"/>
      <c r="H100" s="217"/>
      <c r="I100" s="217"/>
      <c r="J100" s="217"/>
      <c r="K100" s="217"/>
      <c r="L100" s="217"/>
      <c r="M100" s="220"/>
      <c r="O100" s="149"/>
      <c r="Q100" s="234">
        <f>prijmy!C23</f>
        <v>0</v>
      </c>
      <c r="R100" s="226"/>
      <c r="S100" s="234">
        <f>IF(OR(_OP1_&lt;0,AND(AND(_PZZ1_&gt;=0,_PZP1_&lt;0,_OP1&gt;=0),_PZZ1_+_PZP1_/12+_OP1_&lt;0)),0,IF(OR((AND(_PZZ1_&gt;=0,_PZP1_&gt;=0,_OP1_&gt;=0)),AND(AND(_PZZ1_&gt;=0,_PZP1_&lt;0,_OP1_&gt;=0),(_PZZ1_+_PZP1_/12&gt;=0))),_OP1_,IF(AND(AND(_PZZ1_&gt;=0,_PZP1_&lt;0,_OP1_&gt;=0),_PZZ1_+_PZP1_/12+_OP1_&gt;=0),_PZZ1_+_PZP1_/12+_OP1_)))</f>
        <v>0</v>
      </c>
      <c r="T100" s="220"/>
    </row>
    <row r="101" spans="1:20" s="145" customFormat="1" ht="16.5" customHeight="1" x14ac:dyDescent="0.35">
      <c r="A101" s="221"/>
      <c r="S101" s="224" t="str">
        <f>IF(_PZZ1_ + _PZP1_/12 + _OP1_ &lt; 0,"Celkové vypočtené příjmy klienta jsou záporné, odečtěte je z jiných příjmů klienta nebo jiného žadatele!","")</f>
        <v/>
      </c>
    </row>
    <row r="102" spans="1:20" s="145" customFormat="1" ht="28.5" customHeight="1" x14ac:dyDescent="0.35">
      <c r="A102" s="217"/>
      <c r="B102" s="236" t="s">
        <v>77</v>
      </c>
      <c r="C102" s="236"/>
      <c r="D102" s="236"/>
      <c r="E102" s="236"/>
      <c r="F102" s="236"/>
      <c r="G102" s="236"/>
      <c r="H102" s="236"/>
      <c r="I102" s="236"/>
      <c r="J102" s="236"/>
      <c r="K102" s="236"/>
      <c r="L102" s="236"/>
      <c r="M102" s="236"/>
      <c r="N102" s="236"/>
      <c r="O102" s="236"/>
      <c r="P102" s="236"/>
      <c r="Q102" s="236"/>
      <c r="R102" s="236"/>
      <c r="S102" s="236"/>
    </row>
    <row r="103" spans="1:20" s="145" customFormat="1" ht="15" customHeight="1" x14ac:dyDescent="0.35">
      <c r="A103" s="217"/>
      <c r="B103" s="235" t="str">
        <f>IF(F103="x","","x")</f>
        <v>x</v>
      </c>
      <c r="C103" s="225"/>
      <c r="D103" s="217" t="s">
        <v>78</v>
      </c>
      <c r="E103" s="217"/>
      <c r="F103" s="235" t="str">
        <f>IF(OR(prumer&gt;0,_101&gt;0,_102&gt;0,_104&gt;0),"x","")</f>
        <v/>
      </c>
      <c r="G103" s="228"/>
      <c r="H103" s="225"/>
      <c r="I103" s="217" t="s">
        <v>79</v>
      </c>
      <c r="J103" s="217"/>
      <c r="K103" s="217"/>
      <c r="L103" s="217"/>
      <c r="M103" s="217"/>
      <c r="N103" s="217"/>
      <c r="O103" s="217"/>
      <c r="P103" s="217"/>
      <c r="Q103" s="217"/>
      <c r="R103" s="217"/>
      <c r="S103" s="217"/>
    </row>
    <row r="104" spans="1:20" s="145" customFormat="1" ht="27" customHeight="1" x14ac:dyDescent="0.35">
      <c r="A104" s="217"/>
      <c r="B104" s="236" t="s">
        <v>80</v>
      </c>
      <c r="C104" s="236"/>
      <c r="D104" s="236"/>
      <c r="E104" s="236"/>
      <c r="F104" s="236"/>
      <c r="G104" s="236"/>
      <c r="H104" s="236"/>
      <c r="I104" s="236"/>
      <c r="J104" s="236"/>
      <c r="K104" s="236"/>
      <c r="L104" s="236"/>
      <c r="M104" s="236"/>
      <c r="N104" s="236"/>
      <c r="O104" s="236"/>
      <c r="P104" s="236"/>
      <c r="Q104" s="236"/>
      <c r="R104" s="236"/>
      <c r="S104" s="236"/>
    </row>
    <row r="105" spans="1:20" s="145" customFormat="1" x14ac:dyDescent="0.35">
      <c r="A105" s="217"/>
      <c r="B105" s="235" t="str">
        <f>IF(OR(_101&gt;0,_102&gt;0,_104&gt;0),"x","")</f>
        <v/>
      </c>
      <c r="C105" s="225"/>
      <c r="D105" s="217" t="s">
        <v>78</v>
      </c>
      <c r="E105" s="217"/>
      <c r="F105" s="235" t="str">
        <f>IF(B105="x","","x")</f>
        <v>x</v>
      </c>
      <c r="G105" s="228"/>
      <c r="H105" s="225"/>
      <c r="I105" s="217" t="s">
        <v>79</v>
      </c>
      <c r="J105" s="217"/>
      <c r="K105" s="217"/>
      <c r="L105" s="217"/>
      <c r="M105" s="217"/>
      <c r="N105" s="217"/>
      <c r="O105" s="217"/>
      <c r="P105" s="217"/>
      <c r="Q105" s="217"/>
      <c r="R105" s="217"/>
      <c r="S105" s="217"/>
    </row>
    <row r="106" spans="1:20" s="145" customFormat="1" x14ac:dyDescent="0.35">
      <c r="A106" s="217"/>
    </row>
    <row r="107" spans="1:20" ht="0.75" customHeight="1" x14ac:dyDescent="0.35">
      <c r="A107" s="229"/>
      <c r="B107" s="229"/>
      <c r="C107" s="229"/>
      <c r="D107" s="229"/>
      <c r="E107" s="229"/>
      <c r="F107" s="229"/>
      <c r="G107" s="229"/>
      <c r="H107" s="229"/>
      <c r="I107" s="229"/>
      <c r="J107" s="229"/>
      <c r="K107" s="229"/>
      <c r="L107" s="229"/>
      <c r="M107" s="229"/>
      <c r="N107" s="229"/>
      <c r="O107" s="229"/>
      <c r="P107" s="229"/>
      <c r="Q107" s="229"/>
      <c r="R107" s="229"/>
      <c r="S107" s="229"/>
      <c r="T107" s="229"/>
    </row>
    <row r="108" spans="1:20" hidden="1" x14ac:dyDescent="0.35">
      <c r="A108" s="229"/>
      <c r="B108" s="229"/>
      <c r="C108" s="229"/>
      <c r="D108" s="229"/>
      <c r="E108" s="229"/>
      <c r="F108" s="229"/>
      <c r="G108" s="229"/>
      <c r="H108" s="229"/>
      <c r="I108" s="229"/>
      <c r="J108" s="229"/>
      <c r="K108" s="229"/>
      <c r="L108" s="229"/>
      <c r="M108" s="229"/>
      <c r="N108" s="229"/>
      <c r="O108" s="229"/>
      <c r="P108" s="229"/>
      <c r="Q108" s="229"/>
      <c r="R108" s="229"/>
      <c r="S108" s="229"/>
      <c r="T108" s="229"/>
    </row>
    <row r="109" spans="1:20" hidden="1" x14ac:dyDescent="0.35">
      <c r="A109" s="229"/>
      <c r="B109" s="229"/>
      <c r="C109" s="229"/>
      <c r="D109" s="229"/>
      <c r="E109" s="229"/>
      <c r="F109" s="229"/>
      <c r="G109" s="229"/>
      <c r="H109" s="229"/>
      <c r="I109" s="229"/>
      <c r="J109" s="229"/>
      <c r="K109" s="229"/>
      <c r="L109" s="229"/>
      <c r="M109" s="229"/>
      <c r="N109" s="229"/>
      <c r="O109" s="229"/>
      <c r="P109" s="229"/>
      <c r="Q109" s="229"/>
      <c r="R109" s="229"/>
      <c r="S109" s="229"/>
      <c r="T109" s="229"/>
    </row>
    <row r="110" spans="1:20" hidden="1" x14ac:dyDescent="0.35">
      <c r="A110" s="229"/>
      <c r="B110" s="229"/>
      <c r="C110" s="229"/>
      <c r="D110" s="229"/>
      <c r="E110" s="229"/>
      <c r="F110" s="229"/>
      <c r="G110" s="229"/>
      <c r="H110" s="229"/>
      <c r="I110" s="229"/>
      <c r="J110" s="229"/>
      <c r="K110" s="229"/>
      <c r="L110" s="229"/>
      <c r="M110" s="229"/>
      <c r="N110" s="229"/>
      <c r="O110" s="229"/>
      <c r="P110" s="229"/>
      <c r="Q110" s="229"/>
      <c r="R110" s="229"/>
      <c r="S110" s="229"/>
      <c r="T110" s="229"/>
    </row>
    <row r="111" spans="1:20" hidden="1" x14ac:dyDescent="0.35">
      <c r="A111" s="229"/>
      <c r="B111" s="229"/>
      <c r="C111" s="229"/>
      <c r="D111" s="229"/>
      <c r="E111" s="229"/>
      <c r="F111" s="229"/>
      <c r="G111" s="229"/>
      <c r="H111" s="229"/>
      <c r="I111" s="229"/>
      <c r="J111" s="229"/>
      <c r="K111" s="229"/>
      <c r="L111" s="229"/>
      <c r="M111" s="229"/>
      <c r="N111" s="229"/>
      <c r="O111" s="229"/>
      <c r="P111" s="229"/>
      <c r="Q111" s="229"/>
      <c r="R111" s="229"/>
      <c r="S111" s="229"/>
      <c r="T111" s="229"/>
    </row>
    <row r="112" spans="1:20" hidden="1" x14ac:dyDescent="0.35">
      <c r="A112" s="229"/>
      <c r="B112" s="229"/>
      <c r="C112" s="229"/>
      <c r="D112" s="229"/>
      <c r="E112" s="229"/>
      <c r="F112" s="229"/>
      <c r="G112" s="229"/>
      <c r="H112" s="229"/>
      <c r="I112" s="229"/>
      <c r="J112" s="229"/>
      <c r="K112" s="229"/>
      <c r="L112" s="229"/>
      <c r="M112" s="229"/>
      <c r="N112" s="229"/>
      <c r="O112" s="229"/>
      <c r="P112" s="229"/>
      <c r="Q112" s="229"/>
      <c r="R112" s="229"/>
      <c r="S112" s="229"/>
      <c r="T112" s="229"/>
    </row>
    <row r="113" spans="1:20" hidden="1" x14ac:dyDescent="0.35">
      <c r="A113" s="229"/>
      <c r="B113" s="229"/>
      <c r="C113" s="229"/>
      <c r="D113" s="229"/>
      <c r="E113" s="229"/>
      <c r="F113" s="229"/>
      <c r="G113" s="229"/>
      <c r="H113" s="229"/>
      <c r="I113" s="229"/>
      <c r="J113" s="229"/>
      <c r="K113" s="229"/>
      <c r="L113" s="229"/>
      <c r="M113" s="229"/>
      <c r="N113" s="229"/>
      <c r="O113" s="229"/>
      <c r="P113" s="229"/>
      <c r="Q113" s="229"/>
      <c r="R113" s="229"/>
      <c r="S113" s="229"/>
      <c r="T113" s="229"/>
    </row>
    <row r="114" spans="1:20" hidden="1" x14ac:dyDescent="0.35">
      <c r="A114" s="229"/>
      <c r="B114" s="229"/>
      <c r="C114" s="229"/>
      <c r="D114" s="229"/>
      <c r="E114" s="229"/>
      <c r="F114" s="229"/>
      <c r="G114" s="229"/>
      <c r="H114" s="229"/>
      <c r="I114" s="229"/>
      <c r="J114" s="229"/>
      <c r="K114" s="229"/>
      <c r="L114" s="229"/>
      <c r="M114" s="229"/>
      <c r="N114" s="229"/>
      <c r="O114" s="229"/>
      <c r="P114" s="229"/>
      <c r="Q114" s="229"/>
      <c r="R114" s="229"/>
      <c r="S114" s="229"/>
      <c r="T114" s="229"/>
    </row>
  </sheetData>
  <sheetProtection algorithmName="SHA-512" hashValue="fTbMjd3i66CPEVZkiW/8taFxkeOm2BiLzoBU/B7bmDt+niW496Q6wLv7LmOeXhGQvraREzIQ0NXZGSFN/LAi2w==" saltValue="E1JbbPACP0OnA0gjv97IBQ==" spinCount="100000" sheet="1" formatCells="0" formatColumns="0" formatRows="0" insertColumns="0" insertRows="0" insertHyperlinks="0" deleteColumns="0" deleteRows="0" sort="0" autoFilter="0" pivotTables="0"/>
  <mergeCells count="77">
    <mergeCell ref="D64:S64"/>
    <mergeCell ref="D65:S65"/>
    <mergeCell ref="D70:S70"/>
    <mergeCell ref="D72:S72"/>
    <mergeCell ref="D74:S74"/>
    <mergeCell ref="D69:S69"/>
    <mergeCell ref="D90:S90"/>
    <mergeCell ref="D92:S92"/>
    <mergeCell ref="D80:S80"/>
    <mergeCell ref="D83:S83"/>
    <mergeCell ref="D67:S67"/>
    <mergeCell ref="D85:S85"/>
    <mergeCell ref="D87:S87"/>
    <mergeCell ref="D88:S88"/>
    <mergeCell ref="D78:S78"/>
    <mergeCell ref="D76:S76"/>
    <mergeCell ref="B58:C58"/>
    <mergeCell ref="B59:C59"/>
    <mergeCell ref="B60:C60"/>
    <mergeCell ref="B61:C61"/>
    <mergeCell ref="B62:C62"/>
    <mergeCell ref="B54:C54"/>
    <mergeCell ref="B55:C55"/>
    <mergeCell ref="B56:C56"/>
    <mergeCell ref="D56:R56"/>
    <mergeCell ref="B57:C57"/>
    <mergeCell ref="D57:R57"/>
    <mergeCell ref="B53:C53"/>
    <mergeCell ref="B41:S41"/>
    <mergeCell ref="B42:C42"/>
    <mergeCell ref="B43:C43"/>
    <mergeCell ref="B44:C44"/>
    <mergeCell ref="B45:C45"/>
    <mergeCell ref="B46:C46"/>
    <mergeCell ref="B47:C47"/>
    <mergeCell ref="B48:C48"/>
    <mergeCell ref="B49:C49"/>
    <mergeCell ref="B50:C50"/>
    <mergeCell ref="B52:S52"/>
    <mergeCell ref="B37:C37"/>
    <mergeCell ref="D37:R37"/>
    <mergeCell ref="B38:C38"/>
    <mergeCell ref="D38:R38"/>
    <mergeCell ref="B39:C39"/>
    <mergeCell ref="D39:R39"/>
    <mergeCell ref="B34:C34"/>
    <mergeCell ref="D34:R34"/>
    <mergeCell ref="B35:C35"/>
    <mergeCell ref="D35:R35"/>
    <mergeCell ref="B36:C36"/>
    <mergeCell ref="D36:R36"/>
    <mergeCell ref="B28:C28"/>
    <mergeCell ref="D28:Q28"/>
    <mergeCell ref="B31:C31"/>
    <mergeCell ref="B32:C32"/>
    <mergeCell ref="Q32:R32"/>
    <mergeCell ref="D25:Q25"/>
    <mergeCell ref="B26:C26"/>
    <mergeCell ref="D26:Q26"/>
    <mergeCell ref="B27:C27"/>
    <mergeCell ref="D27:Q27"/>
    <mergeCell ref="B102:S102"/>
    <mergeCell ref="B104:S104"/>
    <mergeCell ref="B22:S22"/>
    <mergeCell ref="O1:T1"/>
    <mergeCell ref="B3:I3"/>
    <mergeCell ref="B6:I6"/>
    <mergeCell ref="L6:Q6"/>
    <mergeCell ref="B8:S8"/>
    <mergeCell ref="B11:P11"/>
    <mergeCell ref="B12:O12"/>
    <mergeCell ref="B14:T14"/>
    <mergeCell ref="B19:Q19"/>
    <mergeCell ref="B33:C33"/>
    <mergeCell ref="Q33:R33"/>
    <mergeCell ref="B23:C23"/>
    <mergeCell ref="B25:C25"/>
  </mergeCells>
  <conditionalFormatting sqref="S12">
    <cfRule type="expression" dxfId="2" priority="4" stopIfTrue="1">
      <formula>IF(B12&lt;&gt;1,1,0)</formula>
    </cfRule>
  </conditionalFormatting>
  <conditionalFormatting sqref="Q32:R33">
    <cfRule type="cellIs" dxfId="1" priority="3" stopIfTrue="1" operator="greaterThanOrEqual">
      <formula>0</formula>
    </cfRule>
  </conditionalFormatting>
  <pageMargins left="0.7" right="0.7" top="0.78740157499999996" bottom="0.78740157499999996"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cinnosti!$G$1:$G$2</xm:f>
          </x14:formula1>
          <xm:sqref>B9 B92 B72 B74 B83 B87 B70 B76 B78 B80 B90 B85</xm:sqref>
        </x14:dataValidation>
        <x14:dataValidation type="list" allowBlank="1" showInputMessage="1" showErrorMessage="1" xr:uid="{00000000-0002-0000-0000-000001000000}">
          <x14:formula1>
            <xm:f>cinnosti!$A$2:$A$32</xm:f>
          </x14:formula1>
          <xm:sqref>B12:O12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J34"/>
  <sheetViews>
    <sheetView workbookViewId="0">
      <selection activeCell="D13" sqref="D13:M13"/>
    </sheetView>
  </sheetViews>
  <sheetFormatPr defaultColWidth="8.81640625" defaultRowHeight="14.5" x14ac:dyDescent="0.35"/>
  <cols>
    <col min="1" max="1" width="30.54296875" bestFit="1" customWidth="1"/>
    <col min="8" max="8" width="9.08984375" bestFit="1" customWidth="1"/>
  </cols>
  <sheetData>
    <row r="1" spans="1:10" x14ac:dyDescent="0.35">
      <c r="A1" s="114" t="s">
        <v>188</v>
      </c>
      <c r="B1" t="s">
        <v>187</v>
      </c>
    </row>
    <row r="2" spans="1:10" x14ac:dyDescent="0.35">
      <c r="B2" t="s">
        <v>186</v>
      </c>
    </row>
    <row r="5" spans="1:10" ht="15" thickBot="1" x14ac:dyDescent="0.4"/>
    <row r="6" spans="1:10" ht="15" thickBot="1" x14ac:dyDescent="0.4">
      <c r="A6" t="s">
        <v>127</v>
      </c>
      <c r="B6" s="106">
        <f>_37</f>
        <v>0</v>
      </c>
      <c r="D6" s="107" t="s">
        <v>81</v>
      </c>
      <c r="F6" s="107"/>
    </row>
    <row r="7" spans="1:10" ht="15" thickBot="1" x14ac:dyDescent="0.4"/>
    <row r="8" spans="1:10" ht="15" thickBot="1" x14ac:dyDescent="0.4">
      <c r="A8" t="s">
        <v>85</v>
      </c>
      <c r="B8" s="108" t="str">
        <f>IF(E8="","x","")</f>
        <v>x</v>
      </c>
      <c r="D8" t="s">
        <v>82</v>
      </c>
      <c r="E8" s="108" t="str">
        <f>IF(OR(_37&lt;&gt;0,_101&gt;0,_102&gt;0,_104&gt;0)=TRUE,IF(AND(vstupni_data!B65="",vstupni_data!B70="",vstupni_data!B72="",vstupni_data!B74="",vstupni_data!B76="",vstupni_data!B78="",vstupni_data!B80=""),"","x"),"")</f>
        <v/>
      </c>
    </row>
    <row r="9" spans="1:10" ht="15" thickBot="1" x14ac:dyDescent="0.4"/>
    <row r="10" spans="1:10" ht="15" thickBot="1" x14ac:dyDescent="0.4">
      <c r="A10" t="s">
        <v>189</v>
      </c>
      <c r="B10" s="106">
        <f>IF(B8="x",ROUNDUP(B6*0.5,0),IF(B6&lt;H10,0,ROUNDUP(B6*0.5,0)))</f>
        <v>0</v>
      </c>
      <c r="D10" s="62" t="s">
        <v>83</v>
      </c>
      <c r="H10" s="109">
        <v>105520</v>
      </c>
    </row>
    <row r="11" spans="1:10" ht="15" thickBot="1" x14ac:dyDescent="0.4">
      <c r="B11" s="110"/>
    </row>
    <row r="12" spans="1:10" ht="15" thickBot="1" x14ac:dyDescent="0.4">
      <c r="A12" t="s">
        <v>84</v>
      </c>
      <c r="B12" s="106">
        <f>IF(C30="",IF(C33="",0,IF(AND(E8="x",B10=0),0,IF(B8="x",IF(B10&gt;=H12,IF(B10&lt;=H13,B10,H13),H12),IF(B10&gt;=J12,IF(B10&lt;=H13,B10,H13),J12)))),0)</f>
        <v>0</v>
      </c>
      <c r="D12" s="62" t="s">
        <v>84</v>
      </c>
      <c r="G12" t="s">
        <v>85</v>
      </c>
      <c r="H12" s="109">
        <v>158292</v>
      </c>
      <c r="I12" t="s">
        <v>82</v>
      </c>
      <c r="J12" s="109">
        <v>58044</v>
      </c>
    </row>
    <row r="13" spans="1:10" ht="15" thickBot="1" x14ac:dyDescent="0.4">
      <c r="B13" s="110"/>
      <c r="D13" t="s">
        <v>86</v>
      </c>
      <c r="H13" s="109">
        <v>2110416</v>
      </c>
      <c r="J13" s="110"/>
    </row>
    <row r="14" spans="1:10" ht="15" thickBot="1" x14ac:dyDescent="0.4">
      <c r="A14" t="s">
        <v>190</v>
      </c>
      <c r="B14" s="106">
        <f>B12</f>
        <v>0</v>
      </c>
    </row>
    <row r="15" spans="1:10" ht="15" thickBot="1" x14ac:dyDescent="0.4">
      <c r="B15" s="110"/>
    </row>
    <row r="16" spans="1:10" ht="15" thickBot="1" x14ac:dyDescent="0.4">
      <c r="A16" t="s">
        <v>191</v>
      </c>
      <c r="B16" s="106">
        <f>_31</f>
        <v>0</v>
      </c>
      <c r="D16" s="107" t="s">
        <v>87</v>
      </c>
    </row>
    <row r="17" spans="1:4" ht="15" thickBot="1" x14ac:dyDescent="0.4">
      <c r="B17" s="110"/>
    </row>
    <row r="18" spans="1:4" ht="15" thickBot="1" x14ac:dyDescent="0.4">
      <c r="A18" t="s">
        <v>192</v>
      </c>
      <c r="B18" s="106">
        <f>B16+B14</f>
        <v>0</v>
      </c>
    </row>
    <row r="19" spans="1:4" ht="15" thickBot="1" x14ac:dyDescent="0.4">
      <c r="B19" s="110"/>
    </row>
    <row r="20" spans="1:4" ht="15" thickBot="1" x14ac:dyDescent="0.4">
      <c r="A20" t="s">
        <v>133</v>
      </c>
      <c r="B20" s="106">
        <f>IF(B18&lt;=H13,B14,IF((H13-B18)&lt;0,0,H13-B18))</f>
        <v>0</v>
      </c>
    </row>
    <row r="21" spans="1:4" ht="15" thickBot="1" x14ac:dyDescent="0.4">
      <c r="B21" s="110"/>
    </row>
    <row r="22" spans="1:4" ht="15" thickBot="1" x14ac:dyDescent="0.4">
      <c r="A22" t="s">
        <v>134</v>
      </c>
      <c r="B22" s="106">
        <f>ROUNDUP(B20*D22,0)</f>
        <v>0</v>
      </c>
      <c r="D22" s="111">
        <v>0.29199999999999998</v>
      </c>
    </row>
    <row r="29" spans="1:4" ht="15" thickBot="1" x14ac:dyDescent="0.4">
      <c r="B29" t="s">
        <v>77</v>
      </c>
    </row>
    <row r="30" spans="1:4" ht="15" thickBot="1" x14ac:dyDescent="0.4">
      <c r="B30" t="s">
        <v>78</v>
      </c>
      <c r="C30" s="230" t="str">
        <f>IF(C31="x","","x")</f>
        <v>x</v>
      </c>
    </row>
    <row r="31" spans="1:4" ht="15" thickBot="1" x14ac:dyDescent="0.4">
      <c r="B31" t="s">
        <v>79</v>
      </c>
      <c r="C31" s="230" t="str">
        <f>IF(OR(prumer&gt;0,_101&gt;0,_102&gt;0,_104&gt;0),"x","")</f>
        <v/>
      </c>
    </row>
    <row r="32" spans="1:4" ht="15" thickBot="1" x14ac:dyDescent="0.4">
      <c r="B32" t="s">
        <v>80</v>
      </c>
    </row>
    <row r="33" spans="2:3" ht="15" thickBot="1" x14ac:dyDescent="0.4">
      <c r="B33" t="s">
        <v>78</v>
      </c>
      <c r="C33" s="230" t="str">
        <f>IF(OR(_101&gt;0,_102&gt;0,_104&gt;0),"x","")</f>
        <v/>
      </c>
    </row>
    <row r="34" spans="2:3" ht="15" thickBot="1" x14ac:dyDescent="0.4">
      <c r="B34" t="s">
        <v>79</v>
      </c>
      <c r="C34" s="230" t="str">
        <f>IF(C33="x","","x")</f>
        <v>x</v>
      </c>
    </row>
  </sheetData>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L21"/>
  <sheetViews>
    <sheetView workbookViewId="0">
      <selection activeCell="D13" sqref="D13:M13"/>
    </sheetView>
  </sheetViews>
  <sheetFormatPr defaultColWidth="8.81640625" defaultRowHeight="14.5" x14ac:dyDescent="0.35"/>
  <cols>
    <col min="1" max="1" width="29.81640625" customWidth="1"/>
    <col min="8" max="8" width="11.1796875" bestFit="1" customWidth="1"/>
  </cols>
  <sheetData>
    <row r="1" spans="1:12" x14ac:dyDescent="0.35">
      <c r="A1" s="114" t="s">
        <v>124</v>
      </c>
    </row>
    <row r="5" spans="1:12" ht="15" thickBot="1" x14ac:dyDescent="0.4"/>
    <row r="6" spans="1:12" ht="15" thickBot="1" x14ac:dyDescent="0.4">
      <c r="A6" t="s">
        <v>125</v>
      </c>
      <c r="B6" s="108" t="str">
        <f>IF(E6="","x","")</f>
        <v>x</v>
      </c>
      <c r="D6" t="s">
        <v>126</v>
      </c>
      <c r="E6" s="108" t="str">
        <f>IF(OR(_37&lt;&gt;0,_101&gt;0,_102&gt;0,_104&gt;0)=TRUE,IF(AND(vstupni_data!B83="",vstupni_data!B67="",vstupni_data!B85="",vstupni_data!B87="",vstupni_data!B90="",vstupni_data!B92=""),"","x"),"")</f>
        <v/>
      </c>
    </row>
    <row r="8" spans="1:12" ht="15" thickBot="1" x14ac:dyDescent="0.4"/>
    <row r="9" spans="1:12" ht="15" thickBot="1" x14ac:dyDescent="0.4">
      <c r="A9" t="s">
        <v>127</v>
      </c>
      <c r="B9" s="106">
        <f>_37</f>
        <v>0</v>
      </c>
      <c r="D9" s="107" t="s">
        <v>81</v>
      </c>
      <c r="F9" s="107"/>
    </row>
    <row r="10" spans="1:12" ht="15" thickBot="1" x14ac:dyDescent="0.4"/>
    <row r="11" spans="1:12" ht="15" thickBot="1" x14ac:dyDescent="0.4">
      <c r="A11" t="s">
        <v>128</v>
      </c>
      <c r="B11" s="106">
        <f>_31</f>
        <v>0</v>
      </c>
      <c r="D11" s="107" t="s">
        <v>87</v>
      </c>
    </row>
    <row r="12" spans="1:12" ht="15" thickBot="1" x14ac:dyDescent="0.4">
      <c r="B12" s="110"/>
    </row>
    <row r="13" spans="1:12" ht="15" thickBot="1" x14ac:dyDescent="0.4">
      <c r="A13" t="s">
        <v>84</v>
      </c>
      <c r="B13" s="106">
        <f>IF(B6="",0,H13)</f>
        <v>263802</v>
      </c>
      <c r="D13" t="s">
        <v>84</v>
      </c>
      <c r="H13" s="109">
        <v>263802</v>
      </c>
      <c r="J13" s="115"/>
      <c r="L13" s="107"/>
    </row>
    <row r="14" spans="1:12" ht="15" thickBot="1" x14ac:dyDescent="0.4">
      <c r="B14" s="110"/>
      <c r="D14" t="s">
        <v>86</v>
      </c>
      <c r="H14" s="109">
        <v>999999999</v>
      </c>
      <c r="I14" t="s">
        <v>129</v>
      </c>
      <c r="J14" s="110"/>
    </row>
    <row r="15" spans="1:12" ht="15" thickBot="1" x14ac:dyDescent="0.4">
      <c r="A15" t="s">
        <v>130</v>
      </c>
      <c r="B15" s="106">
        <f>IF(SS!C30="",IF(SS!C33="",0,IF(B9*0.5&lt;B13,B13,B9*0.5)),H15)</f>
        <v>226800</v>
      </c>
      <c r="D15" t="s">
        <v>131</v>
      </c>
      <c r="H15" s="109">
        <v>226800</v>
      </c>
    </row>
    <row r="16" spans="1:12" ht="15" thickBot="1" x14ac:dyDescent="0.4">
      <c r="B16" s="110"/>
    </row>
    <row r="17" spans="1:4" ht="15" thickBot="1" x14ac:dyDescent="0.4">
      <c r="A17" t="s">
        <v>132</v>
      </c>
      <c r="B17" s="106">
        <f>IF((B15+B11)-H14&lt;0,0,(B15+B11)-H14)</f>
        <v>0</v>
      </c>
    </row>
    <row r="18" spans="1:4" ht="15" thickBot="1" x14ac:dyDescent="0.4">
      <c r="B18" s="110"/>
    </row>
    <row r="19" spans="1:4" ht="15" thickBot="1" x14ac:dyDescent="0.4">
      <c r="A19" t="s">
        <v>133</v>
      </c>
      <c r="B19" s="106">
        <f>IF(B15-B17&lt;0,0,B15-B17)</f>
        <v>226800</v>
      </c>
    </row>
    <row r="20" spans="1:4" ht="15" thickBot="1" x14ac:dyDescent="0.4">
      <c r="B20" s="110"/>
    </row>
    <row r="21" spans="1:4" ht="15" thickBot="1" x14ac:dyDescent="0.4">
      <c r="A21" t="s">
        <v>134</v>
      </c>
      <c r="B21" s="106">
        <f>IF(OR(_104&lt;&gt;0,_37&lt;&gt;0,_101&lt;&gt;0),B19*D21,0)</f>
        <v>0</v>
      </c>
      <c r="D21" s="116">
        <v>0.13500000000000001</v>
      </c>
    </row>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F51"/>
  <sheetViews>
    <sheetView zoomScale="89" workbookViewId="0">
      <selection activeCell="D13" sqref="D13:M13"/>
    </sheetView>
  </sheetViews>
  <sheetFormatPr defaultColWidth="8.81640625" defaultRowHeight="14.5" x14ac:dyDescent="0.35"/>
  <cols>
    <col min="1" max="1" width="13.81640625" customWidth="1"/>
    <col min="2" max="2" width="52.81640625" bestFit="1" customWidth="1"/>
    <col min="3" max="3" width="9.453125" bestFit="1" customWidth="1"/>
  </cols>
  <sheetData>
    <row r="1" spans="1:6" x14ac:dyDescent="0.35">
      <c r="A1" s="114"/>
      <c r="C1" s="110"/>
    </row>
    <row r="2" spans="1:6" x14ac:dyDescent="0.35">
      <c r="A2" s="117" t="s">
        <v>90</v>
      </c>
      <c r="B2" s="56"/>
      <c r="C2" s="118"/>
      <c r="D2" s="56"/>
      <c r="E2" s="56" t="s">
        <v>102</v>
      </c>
      <c r="F2" s="56"/>
    </row>
    <row r="3" spans="1:6" x14ac:dyDescent="0.35">
      <c r="A3" s="114"/>
      <c r="B3" s="119" t="s">
        <v>103</v>
      </c>
      <c r="C3" s="120">
        <f>_37</f>
        <v>0</v>
      </c>
    </row>
    <row r="4" spans="1:6" x14ac:dyDescent="0.35">
      <c r="A4" s="114"/>
      <c r="B4" s="121" t="s">
        <v>104</v>
      </c>
      <c r="C4" s="122">
        <f>IF(_44="",0,MIN(C3,_44))</f>
        <v>0</v>
      </c>
      <c r="F4" s="107"/>
    </row>
    <row r="5" spans="1:6" x14ac:dyDescent="0.35">
      <c r="A5" s="114"/>
      <c r="B5" s="123" t="s">
        <v>105</v>
      </c>
      <c r="C5" s="124">
        <f>C3-C4</f>
        <v>0</v>
      </c>
    </row>
    <row r="6" spans="1:6" x14ac:dyDescent="0.35">
      <c r="A6" s="114"/>
      <c r="B6" s="119"/>
      <c r="C6" s="120"/>
    </row>
    <row r="7" spans="1:6" x14ac:dyDescent="0.35">
      <c r="A7" s="114"/>
      <c r="B7" s="119" t="s">
        <v>106</v>
      </c>
      <c r="C7" s="120">
        <f>IF(C3&gt;0,SUM(vstupni_data!S42:S50),0)</f>
        <v>0</v>
      </c>
    </row>
    <row r="8" spans="1:6" x14ac:dyDescent="0.35">
      <c r="A8" s="114"/>
      <c r="B8" s="123" t="s">
        <v>107</v>
      </c>
      <c r="C8" s="124">
        <f>ROUNDDOWN(C5-C7,-2)</f>
        <v>0</v>
      </c>
    </row>
    <row r="9" spans="1:6" x14ac:dyDescent="0.35">
      <c r="A9" s="114"/>
      <c r="B9" s="123"/>
      <c r="C9" s="124"/>
    </row>
    <row r="10" spans="1:6" x14ac:dyDescent="0.35">
      <c r="A10" s="114"/>
      <c r="B10" s="125" t="s">
        <v>108</v>
      </c>
      <c r="C10" s="126">
        <f t="array" ref="C10">_31</f>
        <v>0</v>
      </c>
    </row>
    <row r="11" spans="1:6" x14ac:dyDescent="0.35">
      <c r="A11" s="114"/>
      <c r="B11" s="125" t="s">
        <v>109</v>
      </c>
      <c r="C11" s="126">
        <f>C10+C8</f>
        <v>0</v>
      </c>
    </row>
    <row r="12" spans="1:6" x14ac:dyDescent="0.35">
      <c r="A12" s="114"/>
      <c r="B12" s="125" t="s">
        <v>110</v>
      </c>
      <c r="C12" s="126" t="str">
        <f>IF(AND(C11&gt;C23,C3&lt;&gt;0),"ANO","NE")</f>
        <v>NE</v>
      </c>
    </row>
    <row r="13" spans="1:6" x14ac:dyDescent="0.35">
      <c r="A13" s="114"/>
      <c r="B13" s="125" t="s">
        <v>111</v>
      </c>
      <c r="C13" s="126">
        <f>IF(AND(C11&gt;C23,C3&lt;&gt;0),IF(C10&gt;=C23,C8,C11-C23),0)</f>
        <v>0</v>
      </c>
    </row>
    <row r="14" spans="1:6" x14ac:dyDescent="0.35">
      <c r="A14" s="114"/>
      <c r="B14" s="125" t="s">
        <v>112</v>
      </c>
      <c r="C14" s="126">
        <f>C13*(E23+E17)</f>
        <v>0</v>
      </c>
    </row>
    <row r="15" spans="1:6" x14ac:dyDescent="0.35">
      <c r="A15" s="114"/>
      <c r="B15" s="123"/>
      <c r="C15" s="127"/>
    </row>
    <row r="16" spans="1:6" x14ac:dyDescent="0.35">
      <c r="A16" s="114"/>
      <c r="B16" s="128" t="s">
        <v>113</v>
      </c>
      <c r="C16" s="120">
        <f>C8-C13</f>
        <v>0</v>
      </c>
    </row>
    <row r="17" spans="1:6" x14ac:dyDescent="0.35">
      <c r="A17" s="114"/>
      <c r="B17" s="123" t="s">
        <v>94</v>
      </c>
      <c r="C17" s="124">
        <f>(C16*E17)+C14</f>
        <v>0</v>
      </c>
      <c r="E17" s="129">
        <v>0.15</v>
      </c>
    </row>
    <row r="18" spans="1:6" ht="15" thickBot="1" x14ac:dyDescent="0.4">
      <c r="A18" s="114"/>
      <c r="B18" s="119" t="s">
        <v>114</v>
      </c>
      <c r="C18" s="130">
        <f>IF(C3&gt;0,IF(vstupni_data!S19=0,SUM(vstupni_data!S53:S62),0),0)</f>
        <v>0</v>
      </c>
    </row>
    <row r="19" spans="1:6" ht="15" thickBot="1" x14ac:dyDescent="0.4">
      <c r="A19" s="114"/>
      <c r="B19" s="131" t="s">
        <v>115</v>
      </c>
      <c r="C19" s="132">
        <f>IF(IF((C17-C18)&gt;0,C17-C18,0)&gt;=0,IF((C17-C18)&gt;0,C17-C18,0),0)</f>
        <v>0</v>
      </c>
    </row>
    <row r="20" spans="1:6" x14ac:dyDescent="0.35">
      <c r="A20" s="114"/>
      <c r="B20" s="133"/>
      <c r="C20" s="134"/>
    </row>
    <row r="21" spans="1:6" x14ac:dyDescent="0.35">
      <c r="A21" s="114"/>
      <c r="B21" s="133"/>
      <c r="C21" s="134"/>
    </row>
    <row r="22" spans="1:6" x14ac:dyDescent="0.35">
      <c r="A22" s="114" t="s">
        <v>116</v>
      </c>
      <c r="B22" s="133"/>
      <c r="C22" s="134"/>
    </row>
    <row r="23" spans="1:6" x14ac:dyDescent="0.35">
      <c r="A23" s="114"/>
      <c r="B23" s="135" t="s">
        <v>117</v>
      </c>
      <c r="C23" s="232">
        <v>1582812</v>
      </c>
      <c r="E23" s="129">
        <v>0.08</v>
      </c>
    </row>
    <row r="24" spans="1:6" x14ac:dyDescent="0.35">
      <c r="A24" s="114"/>
      <c r="B24" s="133"/>
      <c r="C24" s="134"/>
    </row>
    <row r="25" spans="1:6" x14ac:dyDescent="0.35">
      <c r="A25" s="114"/>
      <c r="C25" s="110"/>
    </row>
    <row r="26" spans="1:6" x14ac:dyDescent="0.35">
      <c r="A26" s="117" t="s">
        <v>118</v>
      </c>
      <c r="B26" s="56"/>
      <c r="C26" s="118"/>
      <c r="D26" s="56"/>
      <c r="E26" s="56"/>
      <c r="F26" s="56"/>
    </row>
    <row r="27" spans="1:6" x14ac:dyDescent="0.35">
      <c r="A27" s="114"/>
      <c r="B27" s="119" t="s">
        <v>119</v>
      </c>
      <c r="C27" s="120">
        <f>_38</f>
        <v>0</v>
      </c>
    </row>
    <row r="28" spans="1:6" x14ac:dyDescent="0.35">
      <c r="A28" s="114"/>
      <c r="B28" s="121" t="s">
        <v>104</v>
      </c>
      <c r="C28" s="122">
        <f>IF(_44="",0,MIN((_44-C4-C40),C27))</f>
        <v>0</v>
      </c>
      <c r="F28" s="107"/>
    </row>
    <row r="29" spans="1:6" x14ac:dyDescent="0.35">
      <c r="A29" s="114"/>
      <c r="B29" s="123" t="s">
        <v>105</v>
      </c>
      <c r="C29" s="124">
        <f>C27-C28</f>
        <v>0</v>
      </c>
    </row>
    <row r="30" spans="1:6" x14ac:dyDescent="0.35">
      <c r="A30" s="114"/>
      <c r="B30" s="119"/>
      <c r="C30" s="120"/>
    </row>
    <row r="31" spans="1:6" x14ac:dyDescent="0.35">
      <c r="A31" s="114"/>
      <c r="B31" s="119" t="s">
        <v>106</v>
      </c>
      <c r="C31" s="120">
        <f>IF(AND(C7=0,C43=0,C29&gt;0),SUM(vstupni_data!S42:S50),0)</f>
        <v>0</v>
      </c>
    </row>
    <row r="32" spans="1:6" x14ac:dyDescent="0.35">
      <c r="A32" s="114"/>
      <c r="B32" s="123" t="s">
        <v>107</v>
      </c>
      <c r="C32" s="124">
        <f>ROUNDDOWN(C27-C31,-2)</f>
        <v>0</v>
      </c>
    </row>
    <row r="33" spans="1:6" x14ac:dyDescent="0.35">
      <c r="A33" s="114"/>
      <c r="B33" s="119"/>
      <c r="C33" s="120"/>
    </row>
    <row r="34" spans="1:6" x14ac:dyDescent="0.35">
      <c r="A34" s="114"/>
      <c r="B34" s="123" t="s">
        <v>94</v>
      </c>
      <c r="C34" s="124">
        <f>C32*E34</f>
        <v>0</v>
      </c>
      <c r="E34" s="136">
        <v>0.15</v>
      </c>
    </row>
    <row r="35" spans="1:6" ht="15" thickBot="1" x14ac:dyDescent="0.4">
      <c r="A35" s="114"/>
      <c r="B35" s="119" t="s">
        <v>114</v>
      </c>
      <c r="C35" s="137">
        <f>IF(AND(C18=0,C47=0,C27&gt;0),IF(vstupni_data!Q19=0,SUM(vstupni_data!S53:S61),SUM(vstupni_data!S54:S61)),0)</f>
        <v>0</v>
      </c>
    </row>
    <row r="36" spans="1:6" ht="15" thickBot="1" x14ac:dyDescent="0.4">
      <c r="A36" s="114"/>
      <c r="B36" s="131" t="s">
        <v>115</v>
      </c>
      <c r="C36" s="138">
        <f>IF((C34-C35)&gt;0,C34-C35,0)</f>
        <v>0</v>
      </c>
    </row>
    <row r="37" spans="1:6" x14ac:dyDescent="0.35">
      <c r="A37" s="114"/>
      <c r="C37" s="110"/>
    </row>
    <row r="38" spans="1:6" x14ac:dyDescent="0.35">
      <c r="A38" s="117" t="s">
        <v>120</v>
      </c>
      <c r="B38" s="56"/>
      <c r="C38" s="118"/>
      <c r="D38" s="56"/>
      <c r="E38" s="56"/>
      <c r="F38" s="56"/>
    </row>
    <row r="39" spans="1:6" x14ac:dyDescent="0.35">
      <c r="A39" s="114"/>
      <c r="B39" s="119" t="s">
        <v>121</v>
      </c>
      <c r="C39" s="120">
        <f>_39</f>
        <v>0</v>
      </c>
    </row>
    <row r="40" spans="1:6" x14ac:dyDescent="0.35">
      <c r="A40" s="114"/>
      <c r="B40" s="121" t="s">
        <v>104</v>
      </c>
      <c r="C40" s="122">
        <f>IF(_44="",0,MIN((_44-C4),C39))</f>
        <v>0</v>
      </c>
      <c r="F40" s="107"/>
    </row>
    <row r="41" spans="1:6" x14ac:dyDescent="0.35">
      <c r="A41" s="114"/>
      <c r="B41" s="123" t="s">
        <v>105</v>
      </c>
      <c r="C41" s="124">
        <f>C39-C40</f>
        <v>0</v>
      </c>
    </row>
    <row r="42" spans="1:6" x14ac:dyDescent="0.35">
      <c r="A42" s="114"/>
      <c r="B42" s="119"/>
      <c r="C42" s="120"/>
    </row>
    <row r="43" spans="1:6" x14ac:dyDescent="0.35">
      <c r="A43" s="114"/>
      <c r="B43" s="119" t="s">
        <v>106</v>
      </c>
      <c r="C43" s="120">
        <f>IF(AND(C7=0,C39&gt;0),SUM(vstupni_data!S42:S50),0)</f>
        <v>0</v>
      </c>
    </row>
    <row r="44" spans="1:6" x14ac:dyDescent="0.35">
      <c r="A44" s="114"/>
      <c r="B44" s="123" t="s">
        <v>107</v>
      </c>
      <c r="C44" s="124">
        <f>ROUNDDOWN(C41-C43,-2)</f>
        <v>0</v>
      </c>
    </row>
    <row r="45" spans="1:6" x14ac:dyDescent="0.35">
      <c r="A45" s="114"/>
      <c r="B45" s="119"/>
      <c r="C45" s="120"/>
    </row>
    <row r="46" spans="1:6" x14ac:dyDescent="0.35">
      <c r="A46" s="114"/>
      <c r="B46" s="123" t="s">
        <v>94</v>
      </c>
      <c r="C46" s="124">
        <f>C44*E46</f>
        <v>0</v>
      </c>
      <c r="E46" s="129">
        <v>0.15</v>
      </c>
    </row>
    <row r="47" spans="1:6" ht="15" thickBot="1" x14ac:dyDescent="0.4">
      <c r="A47" s="114"/>
      <c r="B47" s="119" t="s">
        <v>114</v>
      </c>
      <c r="C47" s="130">
        <f>IF(AND(C18=0,C39&gt;0),IF(vstupni_data!S19=0,SUM(vstupni_data!S53:S62),0),0)</f>
        <v>0</v>
      </c>
    </row>
    <row r="48" spans="1:6" ht="15" thickBot="1" x14ac:dyDescent="0.4">
      <c r="A48" s="114"/>
      <c r="B48" s="131" t="s">
        <v>115</v>
      </c>
      <c r="C48" s="132">
        <f>IF(C19+IF((C46-C47)&gt;0,C46-C47,0)&lt;0,0,IF(C19&lt;0,C19+IF((C46-C47)&gt;0,C46-C47,0),IF((C46-C47)&gt;0,C46-C47,0)))</f>
        <v>0</v>
      </c>
    </row>
    <row r="49" spans="1:6" x14ac:dyDescent="0.35">
      <c r="A49" s="114"/>
      <c r="C49" s="110"/>
    </row>
    <row r="50" spans="1:6" x14ac:dyDescent="0.35">
      <c r="A50" s="117" t="s">
        <v>122</v>
      </c>
      <c r="B50" s="56"/>
      <c r="C50" s="118"/>
      <c r="D50" s="56"/>
      <c r="E50" s="56"/>
      <c r="F50" s="56"/>
    </row>
    <row r="51" spans="1:6" x14ac:dyDescent="0.35">
      <c r="A51" s="114"/>
      <c r="B51" s="119" t="s">
        <v>123</v>
      </c>
      <c r="C51" s="120">
        <v>0</v>
      </c>
    </row>
  </sheetData>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32"/>
  <sheetViews>
    <sheetView workbookViewId="0">
      <selection activeCell="D13" sqref="D13:M13"/>
    </sheetView>
  </sheetViews>
  <sheetFormatPr defaultColWidth="8.81640625" defaultRowHeight="14.5" x14ac:dyDescent="0.35"/>
  <cols>
    <col min="1" max="1" width="79.81640625" bestFit="1" customWidth="1"/>
    <col min="2" max="2" width="12.1796875" bestFit="1" customWidth="1"/>
    <col min="3" max="3" width="8.453125" bestFit="1" customWidth="1"/>
    <col min="6" max="6" width="5.1796875" bestFit="1" customWidth="1"/>
    <col min="7" max="7" width="2" bestFit="1" customWidth="1"/>
  </cols>
  <sheetData>
    <row r="1" spans="1:7" ht="37.5" x14ac:dyDescent="0.35">
      <c r="A1" s="89" t="s">
        <v>153</v>
      </c>
      <c r="B1" s="89" t="s">
        <v>154</v>
      </c>
      <c r="C1" s="90" t="s">
        <v>155</v>
      </c>
      <c r="D1" s="62"/>
      <c r="F1" t="s">
        <v>78</v>
      </c>
      <c r="G1" s="94" t="s">
        <v>4</v>
      </c>
    </row>
    <row r="2" spans="1:7" x14ac:dyDescent="0.35">
      <c r="A2" s="91"/>
      <c r="B2" s="92"/>
      <c r="C2" s="92"/>
      <c r="F2" t="s">
        <v>79</v>
      </c>
    </row>
    <row r="3" spans="1:7" x14ac:dyDescent="0.35">
      <c r="A3" s="91" t="s">
        <v>156</v>
      </c>
      <c r="B3" s="92">
        <v>0.8</v>
      </c>
      <c r="C3" s="92">
        <v>0.7</v>
      </c>
      <c r="D3">
        <v>2</v>
      </c>
    </row>
    <row r="4" spans="1:7" x14ac:dyDescent="0.35">
      <c r="A4" s="91" t="s">
        <v>157</v>
      </c>
      <c r="B4" s="92">
        <v>0.8</v>
      </c>
      <c r="C4" s="92">
        <v>0.7</v>
      </c>
      <c r="D4">
        <f>D3+1</f>
        <v>3</v>
      </c>
    </row>
    <row r="5" spans="1:7" x14ac:dyDescent="0.35">
      <c r="A5" s="91" t="s">
        <v>158</v>
      </c>
      <c r="B5" s="92">
        <v>0.6</v>
      </c>
      <c r="C5" s="92">
        <v>0.4</v>
      </c>
      <c r="D5">
        <f t="shared" ref="D5:D32" si="0">D4+1</f>
        <v>4</v>
      </c>
    </row>
    <row r="6" spans="1:7" x14ac:dyDescent="0.35">
      <c r="A6" s="91" t="s">
        <v>159</v>
      </c>
      <c r="B6" s="92">
        <v>0.8</v>
      </c>
      <c r="C6" s="92">
        <v>0.75</v>
      </c>
      <c r="D6">
        <f t="shared" si="0"/>
        <v>5</v>
      </c>
    </row>
    <row r="7" spans="1:7" x14ac:dyDescent="0.35">
      <c r="A7" s="91" t="s">
        <v>160</v>
      </c>
      <c r="B7" s="92">
        <v>0.8</v>
      </c>
      <c r="C7" s="92">
        <v>0.65</v>
      </c>
      <c r="D7">
        <f t="shared" si="0"/>
        <v>6</v>
      </c>
    </row>
    <row r="8" spans="1:7" x14ac:dyDescent="0.35">
      <c r="A8" s="91" t="s">
        <v>161</v>
      </c>
      <c r="B8" s="92">
        <v>0.8</v>
      </c>
      <c r="C8" s="92">
        <v>0.6</v>
      </c>
      <c r="D8">
        <f t="shared" si="0"/>
        <v>7</v>
      </c>
    </row>
    <row r="9" spans="1:7" x14ac:dyDescent="0.35">
      <c r="A9" s="91" t="s">
        <v>162</v>
      </c>
      <c r="B9" s="92">
        <v>0.6</v>
      </c>
      <c r="C9" s="92">
        <v>0.5</v>
      </c>
      <c r="D9">
        <f t="shared" si="0"/>
        <v>8</v>
      </c>
    </row>
    <row r="10" spans="1:7" x14ac:dyDescent="0.35">
      <c r="A10" s="91" t="s">
        <v>163</v>
      </c>
      <c r="B10" s="92">
        <v>0.8</v>
      </c>
      <c r="C10" s="92">
        <v>0.6</v>
      </c>
      <c r="D10">
        <f t="shared" si="0"/>
        <v>9</v>
      </c>
    </row>
    <row r="11" spans="1:7" x14ac:dyDescent="0.35">
      <c r="A11" s="91" t="s">
        <v>164</v>
      </c>
      <c r="B11" s="92">
        <v>0.8</v>
      </c>
      <c r="C11" s="92">
        <v>0.6</v>
      </c>
      <c r="D11">
        <f t="shared" si="0"/>
        <v>10</v>
      </c>
    </row>
    <row r="12" spans="1:7" x14ac:dyDescent="0.35">
      <c r="A12" s="91" t="s">
        <v>165</v>
      </c>
      <c r="B12" s="92">
        <v>0.6</v>
      </c>
      <c r="C12" s="92">
        <v>0.5</v>
      </c>
      <c r="D12">
        <f t="shared" si="0"/>
        <v>11</v>
      </c>
    </row>
    <row r="13" spans="1:7" x14ac:dyDescent="0.35">
      <c r="A13" s="91" t="s">
        <v>166</v>
      </c>
      <c r="B13" s="92">
        <v>0.6</v>
      </c>
      <c r="C13" s="92">
        <v>0.3</v>
      </c>
      <c r="D13">
        <f t="shared" si="0"/>
        <v>12</v>
      </c>
    </row>
    <row r="14" spans="1:7" x14ac:dyDescent="0.35">
      <c r="A14" s="91" t="s">
        <v>167</v>
      </c>
      <c r="B14" s="92">
        <v>0.6</v>
      </c>
      <c r="C14" s="92">
        <v>0.3</v>
      </c>
      <c r="D14">
        <f t="shared" si="0"/>
        <v>13</v>
      </c>
    </row>
    <row r="15" spans="1:7" x14ac:dyDescent="0.35">
      <c r="A15" s="91" t="s">
        <v>168</v>
      </c>
      <c r="B15" s="92">
        <v>0.6</v>
      </c>
      <c r="C15" s="92">
        <v>0.4</v>
      </c>
      <c r="D15">
        <f t="shared" si="0"/>
        <v>14</v>
      </c>
    </row>
    <row r="16" spans="1:7" x14ac:dyDescent="0.35">
      <c r="A16" s="91" t="s">
        <v>169</v>
      </c>
      <c r="B16" s="92">
        <v>0.6</v>
      </c>
      <c r="C16" s="92">
        <v>0.4</v>
      </c>
      <c r="D16">
        <f t="shared" si="0"/>
        <v>15</v>
      </c>
    </row>
    <row r="17" spans="1:4" x14ac:dyDescent="0.35">
      <c r="A17" s="91" t="s">
        <v>170</v>
      </c>
      <c r="B17" s="92">
        <v>0.6</v>
      </c>
      <c r="C17" s="92">
        <v>0.4</v>
      </c>
      <c r="D17">
        <f t="shared" si="0"/>
        <v>16</v>
      </c>
    </row>
    <row r="18" spans="1:4" x14ac:dyDescent="0.35">
      <c r="A18" s="91" t="s">
        <v>171</v>
      </c>
      <c r="B18" s="92">
        <v>0.6</v>
      </c>
      <c r="C18" s="92">
        <v>0.45</v>
      </c>
      <c r="D18">
        <f t="shared" si="0"/>
        <v>17</v>
      </c>
    </row>
    <row r="19" spans="1:4" x14ac:dyDescent="0.35">
      <c r="A19" s="91" t="s">
        <v>9</v>
      </c>
      <c r="B19" s="93" t="s">
        <v>172</v>
      </c>
      <c r="C19" s="92">
        <v>0.3</v>
      </c>
      <c r="D19">
        <f t="shared" si="0"/>
        <v>18</v>
      </c>
    </row>
    <row r="20" spans="1:4" x14ac:dyDescent="0.35">
      <c r="A20" s="91" t="s">
        <v>173</v>
      </c>
      <c r="B20" s="92">
        <v>0.6</v>
      </c>
      <c r="C20" s="92">
        <v>0.4</v>
      </c>
      <c r="D20">
        <f t="shared" si="0"/>
        <v>19</v>
      </c>
    </row>
    <row r="21" spans="1:4" x14ac:dyDescent="0.35">
      <c r="A21" s="91" t="s">
        <v>174</v>
      </c>
      <c r="B21" s="93" t="s">
        <v>172</v>
      </c>
      <c r="C21" s="92">
        <v>0.4</v>
      </c>
      <c r="D21">
        <f t="shared" si="0"/>
        <v>20</v>
      </c>
    </row>
    <row r="22" spans="1:4" x14ac:dyDescent="0.35">
      <c r="A22" s="91" t="s">
        <v>175</v>
      </c>
      <c r="B22" s="92">
        <v>0.6</v>
      </c>
      <c r="C22" s="92">
        <v>0.55000000000000004</v>
      </c>
      <c r="D22">
        <f t="shared" si="0"/>
        <v>21</v>
      </c>
    </row>
    <row r="23" spans="1:4" x14ac:dyDescent="0.35">
      <c r="A23" s="91" t="s">
        <v>176</v>
      </c>
      <c r="B23" s="92">
        <v>0.6</v>
      </c>
      <c r="C23" s="92">
        <v>0.4</v>
      </c>
      <c r="D23">
        <f t="shared" si="0"/>
        <v>22</v>
      </c>
    </row>
    <row r="24" spans="1:4" x14ac:dyDescent="0.35">
      <c r="A24" s="91" t="s">
        <v>177</v>
      </c>
      <c r="B24" s="92">
        <v>0.6</v>
      </c>
      <c r="C24" s="92">
        <v>0.4</v>
      </c>
      <c r="D24">
        <f t="shared" si="0"/>
        <v>23</v>
      </c>
    </row>
    <row r="25" spans="1:4" x14ac:dyDescent="0.35">
      <c r="A25" s="91" t="s">
        <v>178</v>
      </c>
      <c r="B25" s="92">
        <v>0.4</v>
      </c>
      <c r="C25" s="92">
        <v>0.25</v>
      </c>
      <c r="D25">
        <f t="shared" si="0"/>
        <v>24</v>
      </c>
    </row>
    <row r="26" spans="1:4" x14ac:dyDescent="0.35">
      <c r="A26" s="91" t="s">
        <v>179</v>
      </c>
      <c r="B26" s="92">
        <v>0.4</v>
      </c>
      <c r="C26" s="92">
        <v>0.3</v>
      </c>
      <c r="D26">
        <f t="shared" si="0"/>
        <v>25</v>
      </c>
    </row>
    <row r="27" spans="1:4" x14ac:dyDescent="0.35">
      <c r="A27" s="91" t="s">
        <v>180</v>
      </c>
      <c r="B27" s="92">
        <v>0.6</v>
      </c>
      <c r="C27" s="92">
        <v>0.4</v>
      </c>
      <c r="D27">
        <f t="shared" si="0"/>
        <v>26</v>
      </c>
    </row>
    <row r="28" spans="1:4" x14ac:dyDescent="0.35">
      <c r="A28" s="91" t="s">
        <v>181</v>
      </c>
      <c r="B28" s="92">
        <v>0.6</v>
      </c>
      <c r="C28" s="92">
        <v>0.5</v>
      </c>
      <c r="D28">
        <f t="shared" si="0"/>
        <v>27</v>
      </c>
    </row>
    <row r="29" spans="1:4" x14ac:dyDescent="0.35">
      <c r="A29" s="91" t="s">
        <v>182</v>
      </c>
      <c r="B29" s="92">
        <v>0.6</v>
      </c>
      <c r="C29" s="92">
        <v>0.55000000000000004</v>
      </c>
      <c r="D29">
        <f t="shared" si="0"/>
        <v>28</v>
      </c>
    </row>
    <row r="30" spans="1:4" x14ac:dyDescent="0.35">
      <c r="A30" s="91" t="s">
        <v>183</v>
      </c>
      <c r="B30" s="92">
        <v>0.4</v>
      </c>
      <c r="C30" s="92">
        <v>0.35</v>
      </c>
      <c r="D30">
        <f t="shared" si="0"/>
        <v>29</v>
      </c>
    </row>
    <row r="31" spans="1:4" x14ac:dyDescent="0.35">
      <c r="A31" s="91" t="s">
        <v>184</v>
      </c>
      <c r="B31" s="92">
        <v>0.8</v>
      </c>
      <c r="C31" s="92">
        <v>0.55000000000000004</v>
      </c>
      <c r="D31">
        <f t="shared" si="0"/>
        <v>30</v>
      </c>
    </row>
    <row r="32" spans="1:4" x14ac:dyDescent="0.35">
      <c r="A32" s="91" t="s">
        <v>185</v>
      </c>
      <c r="B32" s="92">
        <v>0.8</v>
      </c>
      <c r="C32" s="92">
        <v>0.5</v>
      </c>
      <c r="D32">
        <f t="shared" si="0"/>
        <v>31</v>
      </c>
    </row>
  </sheetData>
  <pageMargins left="0.7" right="0.7" top="0.78740157499999996" bottom="0.78740157499999996"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C23"/>
  <sheetViews>
    <sheetView workbookViewId="0">
      <selection activeCell="D13" sqref="D13:M13"/>
    </sheetView>
  </sheetViews>
  <sheetFormatPr defaultColWidth="8.81640625" defaultRowHeight="14.5" x14ac:dyDescent="0.35"/>
  <cols>
    <col min="1" max="1" width="32.1796875" bestFit="1" customWidth="1"/>
    <col min="2" max="2" width="41.453125" bestFit="1" customWidth="1"/>
    <col min="3" max="3" width="12" bestFit="1" customWidth="1"/>
  </cols>
  <sheetData>
    <row r="1" spans="1:3" x14ac:dyDescent="0.35">
      <c r="A1" s="95"/>
      <c r="B1" s="21"/>
      <c r="C1" s="21"/>
    </row>
    <row r="2" spans="1:3" ht="15" thickBot="1" x14ac:dyDescent="0.4">
      <c r="A2" s="95" t="s">
        <v>88</v>
      </c>
      <c r="B2" s="21"/>
      <c r="C2" s="21"/>
    </row>
    <row r="3" spans="1:3" ht="15" thickBot="1" x14ac:dyDescent="0.4">
      <c r="A3" s="95"/>
      <c r="B3" s="112" t="s">
        <v>89</v>
      </c>
      <c r="C3" s="113">
        <f>prumer</f>
        <v>0</v>
      </c>
    </row>
    <row r="4" spans="1:3" x14ac:dyDescent="0.35">
      <c r="A4" s="95"/>
      <c r="B4" s="21"/>
      <c r="C4" s="96"/>
    </row>
    <row r="5" spans="1:3" x14ac:dyDescent="0.35">
      <c r="A5" s="95"/>
      <c r="B5" s="21"/>
      <c r="C5" s="96"/>
    </row>
    <row r="6" spans="1:3" x14ac:dyDescent="0.35">
      <c r="A6" s="95" t="s">
        <v>90</v>
      </c>
      <c r="B6" s="21"/>
      <c r="C6" s="97"/>
    </row>
    <row r="7" spans="1:3" x14ac:dyDescent="0.35">
      <c r="A7" s="95"/>
      <c r="B7" s="98" t="s">
        <v>91</v>
      </c>
      <c r="C7" s="99">
        <f>IF(_101=0,IF(_104mod&lt;&gt;"",_104mod,_104)+_105-_106-(_107-_108)+(_109-_110),_101-IF(_102mod&lt;&gt;"",_102mod,_102)+_105-_106-(_107-_108)+(_109-_110))</f>
        <v>0</v>
      </c>
    </row>
    <row r="8" spans="1:3" x14ac:dyDescent="0.35">
      <c r="A8" s="95"/>
      <c r="B8" s="98" t="s">
        <v>92</v>
      </c>
      <c r="C8" s="99">
        <f>SS!B22</f>
        <v>0</v>
      </c>
    </row>
    <row r="9" spans="1:3" x14ac:dyDescent="0.35">
      <c r="A9" s="95"/>
      <c r="B9" s="98" t="s">
        <v>93</v>
      </c>
      <c r="C9" s="99">
        <f>HI!B21</f>
        <v>0</v>
      </c>
    </row>
    <row r="10" spans="1:3" ht="15" thickBot="1" x14ac:dyDescent="0.4">
      <c r="A10" s="95"/>
      <c r="B10" s="98" t="s">
        <v>94</v>
      </c>
      <c r="C10" s="100">
        <f>Dan!C19</f>
        <v>0</v>
      </c>
    </row>
    <row r="11" spans="1:3" ht="15" thickBot="1" x14ac:dyDescent="0.4">
      <c r="A11" s="95"/>
      <c r="B11" s="101" t="s">
        <v>95</v>
      </c>
      <c r="C11" s="102">
        <f>C7-C8-C9-C10</f>
        <v>0</v>
      </c>
    </row>
    <row r="12" spans="1:3" x14ac:dyDescent="0.35">
      <c r="A12" s="95"/>
      <c r="B12" s="103"/>
      <c r="C12" s="104"/>
    </row>
    <row r="13" spans="1:3" x14ac:dyDescent="0.35">
      <c r="A13" s="95"/>
      <c r="B13" s="21"/>
      <c r="C13" s="96"/>
    </row>
    <row r="14" spans="1:3" x14ac:dyDescent="0.35">
      <c r="A14" s="95" t="s">
        <v>96</v>
      </c>
      <c r="B14" s="21"/>
      <c r="C14" s="96"/>
    </row>
    <row r="15" spans="1:3" x14ac:dyDescent="0.35">
      <c r="A15" s="95"/>
      <c r="B15" s="98" t="s">
        <v>97</v>
      </c>
      <c r="C15" s="99">
        <f>_38</f>
        <v>0</v>
      </c>
    </row>
    <row r="16" spans="1:3" ht="15" thickBot="1" x14ac:dyDescent="0.4">
      <c r="A16" s="95"/>
      <c r="B16" s="98" t="s">
        <v>94</v>
      </c>
      <c r="C16" s="100">
        <f>Dan!C36</f>
        <v>0</v>
      </c>
    </row>
    <row r="17" spans="1:3" ht="15" thickBot="1" x14ac:dyDescent="0.4">
      <c r="A17" s="95"/>
      <c r="B17" s="105" t="s">
        <v>98</v>
      </c>
      <c r="C17" s="102">
        <f>C15-C16</f>
        <v>0</v>
      </c>
    </row>
    <row r="18" spans="1:3" x14ac:dyDescent="0.35">
      <c r="A18" s="95"/>
      <c r="B18" s="103"/>
      <c r="C18" s="104"/>
    </row>
    <row r="19" spans="1:3" x14ac:dyDescent="0.35">
      <c r="A19" s="95"/>
      <c r="B19" s="21"/>
      <c r="C19" s="96"/>
    </row>
    <row r="20" spans="1:3" x14ac:dyDescent="0.35">
      <c r="A20" s="95" t="s">
        <v>99</v>
      </c>
      <c r="B20" s="21"/>
      <c r="C20" s="96"/>
    </row>
    <row r="21" spans="1:3" x14ac:dyDescent="0.35">
      <c r="A21" s="95"/>
      <c r="B21" s="98" t="s">
        <v>100</v>
      </c>
      <c r="C21" s="99">
        <f>_39</f>
        <v>0</v>
      </c>
    </row>
    <row r="22" spans="1:3" ht="15" thickBot="1" x14ac:dyDescent="0.4">
      <c r="A22" s="95"/>
      <c r="B22" s="98" t="s">
        <v>94</v>
      </c>
      <c r="C22" s="100">
        <f>Dan!C48</f>
        <v>0</v>
      </c>
    </row>
    <row r="23" spans="1:3" ht="15" thickBot="1" x14ac:dyDescent="0.4">
      <c r="A23" s="95"/>
      <c r="B23" s="105" t="s">
        <v>101</v>
      </c>
      <c r="C23" s="102">
        <f>(C21-C22)/12</f>
        <v>0</v>
      </c>
    </row>
  </sheetData>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P108"/>
  <sheetViews>
    <sheetView workbookViewId="0">
      <selection activeCell="D13" sqref="D13:M13"/>
    </sheetView>
  </sheetViews>
  <sheetFormatPr defaultColWidth="0" defaultRowHeight="14.5" zeroHeight="1" x14ac:dyDescent="0.35"/>
  <cols>
    <col min="1" max="1" width="1.453125" style="21" customWidth="1"/>
    <col min="2" max="2" width="3" style="23" customWidth="1"/>
    <col min="3" max="3" width="2.453125" style="21" customWidth="1"/>
    <col min="4" max="4" width="4.81640625" style="21" customWidth="1"/>
    <col min="5" max="6" width="2.81640625" style="21" customWidth="1"/>
    <col min="7" max="7" width="2.453125" style="21" customWidth="1"/>
    <col min="8" max="8" width="24.1796875" style="21" customWidth="1"/>
    <col min="9" max="9" width="2.1796875" style="21" customWidth="1"/>
    <col min="10" max="10" width="14.81640625" style="21" customWidth="1"/>
    <col min="11" max="11" width="5" style="21" customWidth="1"/>
    <col min="12" max="12" width="11.81640625" style="21" customWidth="1"/>
    <col min="13" max="13" width="3.81640625" style="21" customWidth="1"/>
    <col min="14" max="14" width="14" style="21" customWidth="1"/>
    <col min="15" max="15" width="5.453125" customWidth="1"/>
    <col min="16" max="16384" width="2.453125" hidden="1"/>
  </cols>
  <sheetData>
    <row r="1" spans="1:14" ht="14.15" customHeight="1" x14ac:dyDescent="0.5">
      <c r="A1" s="19"/>
      <c r="B1" s="19"/>
      <c r="C1" s="19"/>
      <c r="D1" s="19"/>
      <c r="E1" s="19"/>
      <c r="F1" s="19"/>
      <c r="G1" s="19"/>
      <c r="H1"/>
      <c r="I1"/>
      <c r="J1"/>
      <c r="K1"/>
      <c r="L1"/>
      <c r="M1"/>
      <c r="N1"/>
    </row>
    <row r="2" spans="1:14" ht="17.25" customHeight="1" x14ac:dyDescent="0.5">
      <c r="A2" s="19"/>
      <c r="B2" s="19"/>
      <c r="C2" s="19"/>
      <c r="D2" s="19"/>
      <c r="E2" s="19"/>
      <c r="F2" s="19"/>
      <c r="G2" s="19"/>
      <c r="H2"/>
      <c r="I2"/>
      <c r="J2" s="294" t="str">
        <f>vstupni_data!O1</f>
        <v>Kalkulačka k DP  | verze 11</v>
      </c>
      <c r="K2" s="294"/>
      <c r="L2" s="294"/>
      <c r="M2" s="294"/>
      <c r="N2" s="294"/>
    </row>
    <row r="3" spans="1:14" ht="13.5" customHeight="1" x14ac:dyDescent="0.5">
      <c r="A3" s="19"/>
      <c r="B3" s="19"/>
      <c r="C3" s="19"/>
      <c r="D3" s="19"/>
      <c r="E3" s="19"/>
      <c r="F3" s="19"/>
      <c r="G3" s="19"/>
      <c r="H3"/>
      <c r="I3"/>
      <c r="J3"/>
      <c r="K3"/>
      <c r="L3"/>
      <c r="M3"/>
      <c r="N3"/>
    </row>
    <row r="4" spans="1:14" ht="12.75" customHeight="1" thickBot="1" x14ac:dyDescent="0.4">
      <c r="A4" s="18"/>
      <c r="B4" s="20"/>
      <c r="C4" s="18"/>
      <c r="D4" s="18"/>
      <c r="E4" s="18"/>
      <c r="F4" s="18"/>
      <c r="G4" s="18"/>
      <c r="H4" s="18"/>
      <c r="I4" s="18"/>
      <c r="J4" s="18"/>
      <c r="K4" s="18"/>
      <c r="L4" s="18"/>
      <c r="M4" s="18"/>
      <c r="N4" s="18"/>
    </row>
    <row r="5" spans="1:14" s="21" customFormat="1" ht="30" customHeight="1" thickBot="1" x14ac:dyDescent="0.3">
      <c r="B5" s="300" t="s">
        <v>135</v>
      </c>
      <c r="C5" s="301"/>
      <c r="D5" s="301"/>
      <c r="E5" s="301"/>
      <c r="F5" s="301"/>
      <c r="G5" s="301"/>
      <c r="H5" s="301"/>
      <c r="I5" s="301"/>
      <c r="J5" s="301"/>
      <c r="K5" s="301"/>
      <c r="L5" s="301"/>
      <c r="M5" s="302"/>
      <c r="N5" s="22">
        <f>IF(prumer="","",prumer)</f>
        <v>0</v>
      </c>
    </row>
    <row r="6" spans="1:14" s="21" customFormat="1" ht="12.5" x14ac:dyDescent="0.25">
      <c r="B6" s="23"/>
      <c r="D6" s="24"/>
      <c r="E6" s="25"/>
      <c r="F6" s="25"/>
      <c r="G6" s="25"/>
      <c r="H6" s="26"/>
      <c r="I6" s="26"/>
      <c r="J6" s="26"/>
      <c r="K6" s="27"/>
      <c r="L6" s="27"/>
      <c r="M6" s="27"/>
      <c r="N6" s="28"/>
    </row>
    <row r="7" spans="1:14" s="29" customFormat="1" ht="15" customHeight="1" thickBot="1" x14ac:dyDescent="0.4">
      <c r="B7" s="30" t="s">
        <v>12</v>
      </c>
      <c r="D7" s="31"/>
      <c r="E7" s="32"/>
      <c r="F7" s="32"/>
      <c r="G7" s="32"/>
      <c r="H7" s="31"/>
      <c r="I7" s="31"/>
      <c r="J7" s="31"/>
      <c r="K7" s="33"/>
      <c r="L7" s="33"/>
      <c r="M7" s="33"/>
      <c r="N7" s="34"/>
    </row>
    <row r="8" spans="1:14" s="21" customFormat="1" ht="15.75" customHeight="1" thickBot="1" x14ac:dyDescent="0.3">
      <c r="B8" s="295">
        <v>31</v>
      </c>
      <c r="C8" s="296"/>
      <c r="D8" s="303" t="s">
        <v>13</v>
      </c>
      <c r="E8" s="304"/>
      <c r="F8" s="304"/>
      <c r="G8" s="304"/>
      <c r="H8" s="304"/>
      <c r="I8" s="304"/>
      <c r="J8" s="304"/>
      <c r="K8" s="304"/>
      <c r="L8" s="304"/>
      <c r="M8" s="305"/>
      <c r="N8" s="35">
        <f>IF(_31="","",_31)</f>
        <v>0</v>
      </c>
    </row>
    <row r="9" spans="1:14" s="21" customFormat="1" ht="12.75" customHeight="1" thickBot="1" x14ac:dyDescent="0.3">
      <c r="B9" s="25"/>
      <c r="C9" s="25"/>
      <c r="D9" s="25"/>
      <c r="E9" s="25"/>
      <c r="F9" s="36"/>
      <c r="G9" s="36"/>
      <c r="H9" s="36"/>
      <c r="I9" s="36"/>
      <c r="J9" s="36"/>
      <c r="K9" s="37"/>
      <c r="L9" s="37"/>
      <c r="M9" s="37"/>
      <c r="N9" s="28"/>
    </row>
    <row r="10" spans="1:14" s="21" customFormat="1" ht="22.5" customHeight="1" x14ac:dyDescent="0.25">
      <c r="B10" s="297">
        <v>37</v>
      </c>
      <c r="C10" s="298"/>
      <c r="D10" s="306" t="s">
        <v>14</v>
      </c>
      <c r="E10" s="307"/>
      <c r="F10" s="307"/>
      <c r="G10" s="307"/>
      <c r="H10" s="307"/>
      <c r="I10" s="307"/>
      <c r="J10" s="307"/>
      <c r="K10" s="307"/>
      <c r="L10" s="307"/>
      <c r="M10" s="308"/>
      <c r="N10" s="38">
        <f>IF(_37="","",_37)</f>
        <v>0</v>
      </c>
    </row>
    <row r="11" spans="1:14" s="21" customFormat="1" ht="13.5" hidden="1" customHeight="1" x14ac:dyDescent="0.25">
      <c r="B11" s="282">
        <v>38</v>
      </c>
      <c r="C11" s="283"/>
      <c r="D11" s="309" t="s">
        <v>15</v>
      </c>
      <c r="E11" s="292"/>
      <c r="F11" s="292"/>
      <c r="G11" s="292"/>
      <c r="H11" s="292"/>
      <c r="I11" s="292"/>
      <c r="J11" s="292"/>
      <c r="K11" s="292"/>
      <c r="L11" s="292"/>
      <c r="M11" s="293"/>
      <c r="N11" s="39">
        <f>IF(_38="","",_38)</f>
        <v>0</v>
      </c>
    </row>
    <row r="12" spans="1:14" s="21" customFormat="1" ht="19.5" customHeight="1" thickBot="1" x14ac:dyDescent="0.3">
      <c r="B12" s="284">
        <v>39</v>
      </c>
      <c r="C12" s="285"/>
      <c r="D12" s="310" t="s">
        <v>16</v>
      </c>
      <c r="E12" s="311"/>
      <c r="F12" s="311"/>
      <c r="G12" s="311"/>
      <c r="H12" s="311"/>
      <c r="I12" s="311"/>
      <c r="J12" s="311"/>
      <c r="K12" s="311"/>
      <c r="L12" s="311"/>
      <c r="M12" s="312"/>
      <c r="N12" s="40">
        <f>IF(_39="","",_39)</f>
        <v>0</v>
      </c>
    </row>
    <row r="13" spans="1:14" s="21" customFormat="1" ht="13.5" hidden="1" customHeight="1" thickBot="1" x14ac:dyDescent="0.3">
      <c r="B13" s="286">
        <v>44</v>
      </c>
      <c r="C13" s="287"/>
      <c r="D13" s="300" t="s">
        <v>17</v>
      </c>
      <c r="E13" s="301"/>
      <c r="F13" s="301"/>
      <c r="G13" s="301"/>
      <c r="H13" s="301"/>
      <c r="I13" s="301"/>
      <c r="J13" s="301"/>
      <c r="K13" s="301"/>
      <c r="L13" s="301"/>
      <c r="M13" s="302"/>
      <c r="N13" s="40">
        <f>IF(_44="","",_44)</f>
        <v>0</v>
      </c>
    </row>
    <row r="14" spans="1:14" s="21" customFormat="1" ht="12" customHeight="1" x14ac:dyDescent="0.25">
      <c r="B14" s="25"/>
      <c r="C14" s="25"/>
      <c r="D14" s="25"/>
      <c r="E14" s="25"/>
      <c r="F14" s="36"/>
      <c r="G14" s="36"/>
      <c r="H14" s="36"/>
      <c r="I14" s="36"/>
      <c r="J14" s="36"/>
      <c r="K14" s="37"/>
      <c r="L14" s="37"/>
      <c r="M14" s="37"/>
      <c r="N14" s="41"/>
    </row>
    <row r="15" spans="1:14" s="29" customFormat="1" ht="15" customHeight="1" thickBot="1" x14ac:dyDescent="0.4">
      <c r="B15" s="42" t="s">
        <v>18</v>
      </c>
      <c r="C15" s="32"/>
      <c r="D15" s="32"/>
      <c r="E15" s="32"/>
      <c r="F15" s="43"/>
      <c r="G15" s="43"/>
      <c r="H15" s="43"/>
      <c r="I15" s="43"/>
      <c r="J15" s="43"/>
      <c r="K15" s="44"/>
      <c r="L15" s="44"/>
      <c r="M15" s="44"/>
      <c r="N15" s="34"/>
    </row>
    <row r="16" spans="1:14" s="21" customFormat="1" ht="17.149999999999999" customHeight="1" x14ac:dyDescent="0.25">
      <c r="B16" s="297">
        <v>101</v>
      </c>
      <c r="C16" s="299"/>
      <c r="D16" s="313" t="s">
        <v>19</v>
      </c>
      <c r="E16" s="314"/>
      <c r="F16" s="314"/>
      <c r="G16" s="314"/>
      <c r="H16" s="314"/>
      <c r="I16" s="314"/>
      <c r="J16" s="314"/>
      <c r="K16" s="314"/>
      <c r="L16" s="314"/>
      <c r="M16" s="315"/>
      <c r="N16" s="45">
        <f>IF(_101="","",_101)</f>
        <v>0</v>
      </c>
    </row>
    <row r="17" spans="2:14" s="21" customFormat="1" ht="18" customHeight="1" x14ac:dyDescent="0.25">
      <c r="B17" s="282">
        <v>102</v>
      </c>
      <c r="C17" s="288"/>
      <c r="D17" s="316" t="s">
        <v>20</v>
      </c>
      <c r="E17" s="317"/>
      <c r="F17" s="317"/>
      <c r="G17" s="317"/>
      <c r="H17" s="317"/>
      <c r="I17" s="317"/>
      <c r="J17" s="317"/>
      <c r="K17" s="318"/>
      <c r="L17" s="289" t="str">
        <f>IF(_102mod="","",_102mod)</f>
        <v/>
      </c>
      <c r="M17" s="290" t="e">
        <f>IF(#REF!="","",#REF!)</f>
        <v>#REF!</v>
      </c>
      <c r="N17" s="46">
        <f>IF(_102="","",_102)</f>
        <v>0</v>
      </c>
    </row>
    <row r="18" spans="2:14" s="21" customFormat="1" ht="26.25" customHeight="1" x14ac:dyDescent="0.25">
      <c r="B18" s="282">
        <v>104</v>
      </c>
      <c r="C18" s="288"/>
      <c r="D18" s="291" t="s">
        <v>21</v>
      </c>
      <c r="E18" s="292"/>
      <c r="F18" s="292"/>
      <c r="G18" s="292"/>
      <c r="H18" s="292"/>
      <c r="I18" s="292"/>
      <c r="J18" s="292"/>
      <c r="K18" s="293"/>
      <c r="L18" s="289" t="str">
        <f>IF(_104mod="","",_104mod)</f>
        <v/>
      </c>
      <c r="M18" s="290" t="e">
        <f>IF(#REF!="","",#REF!)</f>
        <v>#REF!</v>
      </c>
      <c r="N18" s="46">
        <f>IF(_104="","",_104)</f>
        <v>0</v>
      </c>
    </row>
    <row r="19" spans="2:14" s="21" customFormat="1" ht="36" hidden="1" customHeight="1" x14ac:dyDescent="0.25">
      <c r="B19" s="282">
        <v>105</v>
      </c>
      <c r="C19" s="288"/>
      <c r="D19" s="291" t="s">
        <v>22</v>
      </c>
      <c r="E19" s="292"/>
      <c r="F19" s="292"/>
      <c r="G19" s="292"/>
      <c r="H19" s="292"/>
      <c r="I19" s="292"/>
      <c r="J19" s="292"/>
      <c r="K19" s="292"/>
      <c r="L19" s="292"/>
      <c r="M19" s="293"/>
      <c r="N19" s="46">
        <f>IF(_105="","",_105)</f>
        <v>0</v>
      </c>
    </row>
    <row r="20" spans="2:14" s="21" customFormat="1" ht="27.75" customHeight="1" x14ac:dyDescent="0.25">
      <c r="B20" s="282">
        <v>106</v>
      </c>
      <c r="C20" s="288"/>
      <c r="D20" s="291" t="s">
        <v>23</v>
      </c>
      <c r="E20" s="292"/>
      <c r="F20" s="292"/>
      <c r="G20" s="292"/>
      <c r="H20" s="292"/>
      <c r="I20" s="292"/>
      <c r="J20" s="292"/>
      <c r="K20" s="292"/>
      <c r="L20" s="292"/>
      <c r="M20" s="293"/>
      <c r="N20" s="46">
        <f>IF(_106="","",_106)</f>
        <v>0</v>
      </c>
    </row>
    <row r="21" spans="2:14" s="21" customFormat="1" ht="38.25" customHeight="1" x14ac:dyDescent="0.25">
      <c r="B21" s="282">
        <v>107</v>
      </c>
      <c r="C21" s="288"/>
      <c r="D21" s="291" t="s">
        <v>136</v>
      </c>
      <c r="E21" s="292"/>
      <c r="F21" s="292"/>
      <c r="G21" s="292"/>
      <c r="H21" s="292"/>
      <c r="I21" s="292"/>
      <c r="J21" s="292"/>
      <c r="K21" s="292"/>
      <c r="L21" s="292"/>
      <c r="M21" s="293"/>
      <c r="N21" s="46">
        <f>IF(_107="","",_107)</f>
        <v>0</v>
      </c>
    </row>
    <row r="22" spans="2:14" s="21" customFormat="1" ht="39" customHeight="1" x14ac:dyDescent="0.25">
      <c r="B22" s="282">
        <v>108</v>
      </c>
      <c r="C22" s="288"/>
      <c r="D22" s="291" t="s">
        <v>25</v>
      </c>
      <c r="E22" s="292"/>
      <c r="F22" s="292"/>
      <c r="G22" s="292"/>
      <c r="H22" s="292"/>
      <c r="I22" s="292"/>
      <c r="J22" s="292"/>
      <c r="K22" s="292"/>
      <c r="L22" s="292"/>
      <c r="M22" s="293"/>
      <c r="N22" s="46">
        <f>IF(_108="","",_108)</f>
        <v>0</v>
      </c>
    </row>
    <row r="23" spans="2:14" s="21" customFormat="1" ht="28.5" customHeight="1" x14ac:dyDescent="0.25">
      <c r="B23" s="282">
        <v>109</v>
      </c>
      <c r="C23" s="288"/>
      <c r="D23" s="320" t="s">
        <v>26</v>
      </c>
      <c r="E23" s="321"/>
      <c r="F23" s="321"/>
      <c r="G23" s="321"/>
      <c r="H23" s="321"/>
      <c r="I23" s="321"/>
      <c r="J23" s="321"/>
      <c r="K23" s="321"/>
      <c r="L23" s="321"/>
      <c r="M23" s="322"/>
      <c r="N23" s="46">
        <f>IF(_109="","",_109)</f>
        <v>0</v>
      </c>
    </row>
    <row r="24" spans="2:14" s="21" customFormat="1" ht="32.25" customHeight="1" thickBot="1" x14ac:dyDescent="0.3">
      <c r="B24" s="284">
        <v>110</v>
      </c>
      <c r="C24" s="319"/>
      <c r="D24" s="323" t="s">
        <v>27</v>
      </c>
      <c r="E24" s="324"/>
      <c r="F24" s="324"/>
      <c r="G24" s="324"/>
      <c r="H24" s="324"/>
      <c r="I24" s="324"/>
      <c r="J24" s="324"/>
      <c r="K24" s="324"/>
      <c r="L24" s="324"/>
      <c r="M24" s="325"/>
      <c r="N24" s="47">
        <f>IF(_110="","",_110)</f>
        <v>0</v>
      </c>
    </row>
    <row r="25" spans="2:14" s="21" customFormat="1" ht="12.75" customHeight="1" x14ac:dyDescent="0.25">
      <c r="B25" s="48"/>
      <c r="C25" s="48"/>
      <c r="D25" s="48"/>
      <c r="E25" s="48"/>
      <c r="F25" s="36"/>
      <c r="G25" s="36"/>
      <c r="H25" s="36"/>
      <c r="I25" s="36"/>
      <c r="J25" s="36"/>
      <c r="K25" s="49"/>
      <c r="L25" s="49"/>
      <c r="M25" s="49"/>
      <c r="N25" s="49"/>
    </row>
    <row r="26" spans="2:14" s="29" customFormat="1" ht="15" customHeight="1" thickBot="1" x14ac:dyDescent="0.4">
      <c r="B26" s="42" t="s">
        <v>28</v>
      </c>
      <c r="C26" s="43"/>
      <c r="D26" s="43"/>
      <c r="E26" s="43"/>
      <c r="F26" s="43"/>
      <c r="G26" s="43"/>
      <c r="H26" s="43"/>
      <c r="I26" s="43"/>
      <c r="J26" s="43"/>
      <c r="K26" s="32"/>
      <c r="L26" s="32"/>
      <c r="M26" s="32"/>
      <c r="N26" s="32"/>
    </row>
    <row r="27" spans="2:14" s="21" customFormat="1" ht="16" customHeight="1" x14ac:dyDescent="0.25">
      <c r="B27" s="297">
        <v>46</v>
      </c>
      <c r="C27" s="299"/>
      <c r="D27" s="313" t="s">
        <v>29</v>
      </c>
      <c r="E27" s="314"/>
      <c r="F27" s="314"/>
      <c r="G27" s="314"/>
      <c r="H27" s="314"/>
      <c r="I27" s="314"/>
      <c r="J27" s="314"/>
      <c r="K27" s="314"/>
      <c r="L27" s="314"/>
      <c r="M27" s="315"/>
      <c r="N27" s="38">
        <f>IF(_46="","",_46)</f>
        <v>0</v>
      </c>
    </row>
    <row r="28" spans="2:14" s="21" customFormat="1" ht="17.149999999999999" customHeight="1" x14ac:dyDescent="0.25">
      <c r="B28" s="282">
        <v>47</v>
      </c>
      <c r="C28" s="288"/>
      <c r="D28" s="291" t="s">
        <v>30</v>
      </c>
      <c r="E28" s="292"/>
      <c r="F28" s="292"/>
      <c r="G28" s="292"/>
      <c r="H28" s="292"/>
      <c r="I28" s="292"/>
      <c r="J28" s="292"/>
      <c r="K28" s="292"/>
      <c r="L28" s="292"/>
      <c r="M28" s="293"/>
      <c r="N28" s="50">
        <f>IF(_47="","",_47)</f>
        <v>0</v>
      </c>
    </row>
    <row r="29" spans="2:14" s="21" customFormat="1" ht="24" customHeight="1" x14ac:dyDescent="0.25">
      <c r="B29" s="282">
        <v>48</v>
      </c>
      <c r="C29" s="288"/>
      <c r="D29" s="291" t="s">
        <v>31</v>
      </c>
      <c r="E29" s="292"/>
      <c r="F29" s="292"/>
      <c r="G29" s="292"/>
      <c r="H29" s="292"/>
      <c r="I29" s="292"/>
      <c r="J29" s="292"/>
      <c r="K29" s="292"/>
      <c r="L29" s="292"/>
      <c r="M29" s="293"/>
      <c r="N29" s="50">
        <f>IF(_48="","",_48)</f>
        <v>0</v>
      </c>
    </row>
    <row r="30" spans="2:14" s="21" customFormat="1" ht="17.149999999999999" customHeight="1" x14ac:dyDescent="0.25">
      <c r="B30" s="282">
        <v>49</v>
      </c>
      <c r="C30" s="288"/>
      <c r="D30" s="316" t="s">
        <v>137</v>
      </c>
      <c r="E30" s="317"/>
      <c r="F30" s="317"/>
      <c r="G30" s="317"/>
      <c r="H30" s="317"/>
      <c r="I30" s="317"/>
      <c r="J30" s="317"/>
      <c r="K30" s="317"/>
      <c r="L30" s="317"/>
      <c r="M30" s="318"/>
      <c r="N30" s="50">
        <f>IF(_49="","",_49)</f>
        <v>0</v>
      </c>
    </row>
    <row r="31" spans="2:14" s="21" customFormat="1" ht="17.5" customHeight="1" x14ac:dyDescent="0.25">
      <c r="B31" s="282">
        <v>50</v>
      </c>
      <c r="C31" s="288"/>
      <c r="D31" s="316" t="s">
        <v>33</v>
      </c>
      <c r="E31" s="317"/>
      <c r="F31" s="317"/>
      <c r="G31" s="317"/>
      <c r="H31" s="317"/>
      <c r="I31" s="317"/>
      <c r="J31" s="317"/>
      <c r="K31" s="317"/>
      <c r="L31" s="317"/>
      <c r="M31" s="318"/>
      <c r="N31" s="50">
        <f>IF(_50="","",_50)</f>
        <v>0</v>
      </c>
    </row>
    <row r="32" spans="2:14" s="21" customFormat="1" ht="16" customHeight="1" x14ac:dyDescent="0.25">
      <c r="B32" s="282">
        <v>51</v>
      </c>
      <c r="C32" s="288"/>
      <c r="D32" s="316" t="s">
        <v>34</v>
      </c>
      <c r="E32" s="317"/>
      <c r="F32" s="317"/>
      <c r="G32" s="317"/>
      <c r="H32" s="317"/>
      <c r="I32" s="317"/>
      <c r="J32" s="317"/>
      <c r="K32" s="317"/>
      <c r="L32" s="317"/>
      <c r="M32" s="318"/>
      <c r="N32" s="50">
        <f>IF(_51="","",_51)</f>
        <v>0</v>
      </c>
    </row>
    <row r="33" spans="2:14" s="21" customFormat="1" ht="16" customHeight="1" x14ac:dyDescent="0.25">
      <c r="B33" s="282">
        <v>52</v>
      </c>
      <c r="C33" s="288"/>
      <c r="D33" s="316" t="s">
        <v>35</v>
      </c>
      <c r="E33" s="317"/>
      <c r="F33" s="317"/>
      <c r="G33" s="317"/>
      <c r="H33" s="317"/>
      <c r="I33" s="317"/>
      <c r="J33" s="317"/>
      <c r="K33" s="317"/>
      <c r="L33" s="317"/>
      <c r="M33" s="318"/>
      <c r="N33" s="50">
        <f>IF(_52="","",_52)</f>
        <v>0</v>
      </c>
    </row>
    <row r="34" spans="2:14" s="21" customFormat="1" ht="16" customHeight="1" x14ac:dyDescent="0.25">
      <c r="B34" s="282" t="s">
        <v>138</v>
      </c>
      <c r="C34" s="288" t="s">
        <v>138</v>
      </c>
      <c r="D34" s="316" t="s">
        <v>37</v>
      </c>
      <c r="E34" s="317"/>
      <c r="F34" s="317"/>
      <c r="G34" s="317"/>
      <c r="H34" s="317"/>
      <c r="I34" s="317"/>
      <c r="J34" s="317"/>
      <c r="K34" s="317"/>
      <c r="L34" s="317"/>
      <c r="M34" s="318"/>
      <c r="N34" s="50">
        <f>IF(_52a="","",_52a)</f>
        <v>0</v>
      </c>
    </row>
    <row r="35" spans="2:14" s="21" customFormat="1" ht="15.65" customHeight="1" thickBot="1" x14ac:dyDescent="0.3">
      <c r="B35" s="284">
        <v>53</v>
      </c>
      <c r="C35" s="319"/>
      <c r="D35" s="326" t="s">
        <v>38</v>
      </c>
      <c r="E35" s="327"/>
      <c r="F35" s="327"/>
      <c r="G35" s="327"/>
      <c r="H35" s="327"/>
      <c r="I35" s="327"/>
      <c r="J35" s="327"/>
      <c r="K35" s="327"/>
      <c r="L35" s="327"/>
      <c r="M35" s="328"/>
      <c r="N35" s="51">
        <f>IF(_53="","",_53)</f>
        <v>0</v>
      </c>
    </row>
    <row r="36" spans="2:14" s="21" customFormat="1" ht="13.5" customHeight="1" x14ac:dyDescent="0.25">
      <c r="B36" s="48"/>
      <c r="C36" s="48"/>
      <c r="D36" s="48"/>
      <c r="E36" s="48"/>
      <c r="F36" s="36"/>
      <c r="G36" s="36"/>
      <c r="H36" s="36"/>
      <c r="I36" s="36"/>
      <c r="J36" s="36"/>
      <c r="K36" s="49"/>
      <c r="L36" s="49"/>
      <c r="M36" s="49"/>
      <c r="N36" s="49"/>
    </row>
    <row r="37" spans="2:14" s="29" customFormat="1" ht="15" customHeight="1" thickBot="1" x14ac:dyDescent="0.4">
      <c r="B37" s="42" t="s">
        <v>39</v>
      </c>
      <c r="C37" s="43"/>
      <c r="D37" s="43"/>
      <c r="E37" s="43"/>
      <c r="F37" s="43"/>
      <c r="G37" s="43"/>
      <c r="H37" s="43"/>
      <c r="I37" s="43"/>
      <c r="J37" s="43"/>
      <c r="K37" s="32"/>
      <c r="L37" s="32"/>
      <c r="M37" s="32"/>
      <c r="N37" s="32"/>
    </row>
    <row r="38" spans="2:14" s="21" customFormat="1" ht="19.399999999999999" customHeight="1" x14ac:dyDescent="0.25">
      <c r="B38" s="297">
        <v>64</v>
      </c>
      <c r="C38" s="299"/>
      <c r="D38" s="313" t="s">
        <v>40</v>
      </c>
      <c r="E38" s="314"/>
      <c r="F38" s="314"/>
      <c r="G38" s="314"/>
      <c r="H38" s="314"/>
      <c r="I38" s="314"/>
      <c r="J38" s="314"/>
      <c r="K38" s="314"/>
      <c r="L38" s="314"/>
      <c r="M38" s="315"/>
      <c r="N38" s="45">
        <f>IF(_64="","",_64)</f>
        <v>30840</v>
      </c>
    </row>
    <row r="39" spans="2:14" s="21" customFormat="1" ht="19.399999999999999" customHeight="1" x14ac:dyDescent="0.25">
      <c r="B39" s="282" t="s">
        <v>41</v>
      </c>
      <c r="C39" s="288"/>
      <c r="D39" s="291" t="s">
        <v>42</v>
      </c>
      <c r="E39" s="292"/>
      <c r="F39" s="292"/>
      <c r="G39" s="292"/>
      <c r="H39" s="292"/>
      <c r="I39" s="292"/>
      <c r="J39" s="292"/>
      <c r="K39" s="292"/>
      <c r="L39" s="292"/>
      <c r="M39" s="293"/>
      <c r="N39" s="46">
        <f>IF(_65a="","",_65a)</f>
        <v>0</v>
      </c>
    </row>
    <row r="40" spans="2:14" s="21" customFormat="1" ht="19.399999999999999" customHeight="1" x14ac:dyDescent="0.25">
      <c r="B40" s="282" t="s">
        <v>43</v>
      </c>
      <c r="C40" s="288"/>
      <c r="D40" s="291" t="s">
        <v>44</v>
      </c>
      <c r="E40" s="292"/>
      <c r="F40" s="292"/>
      <c r="G40" s="292"/>
      <c r="H40" s="292"/>
      <c r="I40" s="292"/>
      <c r="J40" s="292"/>
      <c r="K40" s="292"/>
      <c r="L40" s="292"/>
      <c r="M40" s="293"/>
      <c r="N40" s="46">
        <f>IF(_65b="","",_65b)</f>
        <v>0</v>
      </c>
    </row>
    <row r="41" spans="2:14" s="21" customFormat="1" ht="24.75" customHeight="1" x14ac:dyDescent="0.25">
      <c r="B41" s="282">
        <v>66</v>
      </c>
      <c r="C41" s="288"/>
      <c r="D41" s="291" t="s">
        <v>45</v>
      </c>
      <c r="E41" s="292"/>
      <c r="F41" s="292"/>
      <c r="G41" s="292"/>
      <c r="H41" s="292"/>
      <c r="I41" s="292"/>
      <c r="J41" s="292"/>
      <c r="K41" s="292"/>
      <c r="L41" s="292"/>
      <c r="M41" s="293"/>
      <c r="N41" s="46">
        <f>IF(_66="","",_66)</f>
        <v>0</v>
      </c>
    </row>
    <row r="42" spans="2:14" s="21" customFormat="1" ht="24.75" customHeight="1" x14ac:dyDescent="0.25">
      <c r="B42" s="282">
        <v>67</v>
      </c>
      <c r="C42" s="288"/>
      <c r="D42" s="291" t="s">
        <v>46</v>
      </c>
      <c r="E42" s="292"/>
      <c r="F42" s="292"/>
      <c r="G42" s="292"/>
      <c r="H42" s="292"/>
      <c r="I42" s="292"/>
      <c r="J42" s="292"/>
      <c r="K42" s="292"/>
      <c r="L42" s="292"/>
      <c r="M42" s="293"/>
      <c r="N42" s="46">
        <f>IF(_67="","",_67)</f>
        <v>0</v>
      </c>
    </row>
    <row r="43" spans="2:14" s="21" customFormat="1" ht="19.399999999999999" customHeight="1" x14ac:dyDescent="0.25">
      <c r="B43" s="282">
        <v>68</v>
      </c>
      <c r="C43" s="288"/>
      <c r="D43" s="291" t="s">
        <v>47</v>
      </c>
      <c r="E43" s="292"/>
      <c r="F43" s="292"/>
      <c r="G43" s="292"/>
      <c r="H43" s="292"/>
      <c r="I43" s="292"/>
      <c r="J43" s="292"/>
      <c r="K43" s="292"/>
      <c r="L43" s="292"/>
      <c r="M43" s="293"/>
      <c r="N43" s="46">
        <f>IF(_68="","",_68)</f>
        <v>0</v>
      </c>
    </row>
    <row r="44" spans="2:14" s="21" customFormat="1" ht="19.399999999999999" customHeight="1" x14ac:dyDescent="0.25">
      <c r="B44" s="282">
        <v>69</v>
      </c>
      <c r="C44" s="288"/>
      <c r="D44" s="291" t="s">
        <v>48</v>
      </c>
      <c r="E44" s="292"/>
      <c r="F44" s="292"/>
      <c r="G44" s="292"/>
      <c r="H44" s="292"/>
      <c r="I44" s="292"/>
      <c r="J44" s="292"/>
      <c r="K44" s="292"/>
      <c r="L44" s="292"/>
      <c r="M44" s="293"/>
      <c r="N44" s="46">
        <f>IF(_69="","",_69)</f>
        <v>0</v>
      </c>
    </row>
    <row r="45" spans="2:14" s="21" customFormat="1" ht="19.399999999999999" customHeight="1" x14ac:dyDescent="0.25">
      <c r="B45" s="282" t="s">
        <v>49</v>
      </c>
      <c r="C45" s="288"/>
      <c r="D45" s="291" t="s">
        <v>50</v>
      </c>
      <c r="E45" s="292"/>
      <c r="F45" s="292"/>
      <c r="G45" s="292"/>
      <c r="H45" s="292"/>
      <c r="I45" s="292"/>
      <c r="J45" s="292"/>
      <c r="K45" s="292"/>
      <c r="L45" s="292"/>
      <c r="M45" s="293"/>
      <c r="N45" s="46">
        <f>IF(_69a="","",_69a)</f>
        <v>0</v>
      </c>
    </row>
    <row r="46" spans="2:14" s="21" customFormat="1" ht="19.399999999999999" customHeight="1" x14ac:dyDescent="0.25">
      <c r="B46" s="282" t="s">
        <v>51</v>
      </c>
      <c r="C46" s="288"/>
      <c r="D46" s="291" t="s">
        <v>52</v>
      </c>
      <c r="E46" s="292"/>
      <c r="F46" s="292"/>
      <c r="G46" s="292"/>
      <c r="H46" s="292"/>
      <c r="I46" s="292"/>
      <c r="J46" s="292"/>
      <c r="K46" s="292"/>
      <c r="L46" s="292"/>
      <c r="M46" s="293"/>
      <c r="N46" s="46">
        <f>IF(_69b="","",_69b)</f>
        <v>0</v>
      </c>
    </row>
    <row r="47" spans="2:14" s="21" customFormat="1" ht="19.399999999999999" customHeight="1" thickBot="1" x14ac:dyDescent="0.3">
      <c r="B47" s="284">
        <v>72</v>
      </c>
      <c r="C47" s="319"/>
      <c r="D47" s="326" t="s">
        <v>53</v>
      </c>
      <c r="E47" s="327"/>
      <c r="F47" s="327"/>
      <c r="G47" s="327"/>
      <c r="H47" s="327"/>
      <c r="I47" s="327"/>
      <c r="J47" s="327"/>
      <c r="K47" s="327"/>
      <c r="L47" s="327"/>
      <c r="M47" s="328"/>
      <c r="N47" s="47">
        <f>IF(_72="","",_72)</f>
        <v>0</v>
      </c>
    </row>
    <row r="48" spans="2:14" s="21" customFormat="1" ht="19.399999999999999" customHeight="1" x14ac:dyDescent="0.25">
      <c r="B48" s="25"/>
      <c r="C48" s="25"/>
      <c r="D48" s="142"/>
      <c r="E48" s="142"/>
      <c r="F48" s="142"/>
      <c r="G48" s="142"/>
      <c r="H48" s="142"/>
      <c r="I48" s="142"/>
      <c r="J48" s="142"/>
      <c r="K48" s="142"/>
      <c r="L48" s="142"/>
      <c r="M48" s="142"/>
      <c r="N48" s="28"/>
    </row>
    <row r="49" spans="1:16" s="17" customFormat="1" ht="15" customHeight="1" x14ac:dyDescent="0.5">
      <c r="A49" s="19"/>
      <c r="B49" s="19"/>
      <c r="C49" s="19"/>
      <c r="D49" s="19"/>
      <c r="E49" s="19"/>
      <c r="F49" s="19"/>
      <c r="G49" s="19"/>
      <c r="H49"/>
      <c r="I49"/>
      <c r="J49" s="294" t="str">
        <f>vstupni_data!O1</f>
        <v>Kalkulačka k DP  | verze 11</v>
      </c>
      <c r="K49" s="294"/>
      <c r="L49" s="294"/>
      <c r="M49" s="294"/>
      <c r="N49" s="294"/>
    </row>
    <row r="50" spans="1:16" ht="18" customHeight="1" x14ac:dyDescent="0.5">
      <c r="A50" s="19"/>
      <c r="B50" s="19"/>
      <c r="C50" s="19"/>
      <c r="D50" s="19"/>
      <c r="E50" s="19"/>
      <c r="F50" s="19"/>
      <c r="G50" s="19"/>
      <c r="H50"/>
      <c r="I50"/>
    </row>
    <row r="51" spans="1:16" ht="12.75" customHeight="1" x14ac:dyDescent="0.5">
      <c r="A51" s="19"/>
      <c r="B51" s="19"/>
      <c r="C51" s="19"/>
      <c r="D51" s="19"/>
      <c r="E51" s="19"/>
      <c r="F51" s="19"/>
      <c r="G51" s="19"/>
      <c r="H51"/>
      <c r="I51"/>
      <c r="J51"/>
      <c r="K51"/>
      <c r="L51"/>
      <c r="M51"/>
      <c r="N51"/>
    </row>
    <row r="52" spans="1:16" ht="15" customHeight="1" x14ac:dyDescent="0.35">
      <c r="A52" s="29"/>
      <c r="B52" s="52"/>
      <c r="C52" s="29"/>
      <c r="D52" s="29"/>
      <c r="E52" s="29"/>
      <c r="F52" s="29"/>
      <c r="G52" s="29"/>
      <c r="H52" s="29"/>
      <c r="I52" s="29"/>
      <c r="J52" s="29"/>
      <c r="K52" s="29"/>
      <c r="L52" s="29"/>
      <c r="M52" s="29"/>
      <c r="N52" s="29"/>
    </row>
    <row r="53" spans="1:16" x14ac:dyDescent="0.35">
      <c r="A53" s="18"/>
      <c r="B53" s="84" t="s">
        <v>0</v>
      </c>
      <c r="C53" s="18"/>
      <c r="D53" s="18"/>
      <c r="E53" s="18"/>
      <c r="F53" s="18"/>
      <c r="G53" s="18"/>
      <c r="H53" s="18"/>
      <c r="I53" s="18"/>
      <c r="J53" s="18"/>
      <c r="K53" s="18"/>
      <c r="L53" s="18"/>
      <c r="M53" s="18"/>
      <c r="N53" s="18"/>
    </row>
    <row r="54" spans="1:16" s="29" customFormat="1" ht="12.5" x14ac:dyDescent="0.35">
      <c r="A54" s="18"/>
      <c r="B54" s="277" t="str">
        <f>IF(vstupni_data!B3="","",vstupni_data!B3)</f>
        <v/>
      </c>
      <c r="C54" s="278"/>
      <c r="D54" s="278"/>
      <c r="E54" s="278"/>
      <c r="F54" s="278"/>
      <c r="G54" s="278"/>
      <c r="H54" s="279"/>
      <c r="I54" s="18"/>
      <c r="J54" s="18"/>
      <c r="K54" s="18"/>
      <c r="L54" s="18"/>
      <c r="M54" s="18"/>
      <c r="N54" s="18"/>
    </row>
    <row r="55" spans="1:16" s="21" customFormat="1" ht="13" x14ac:dyDescent="0.25">
      <c r="A55" s="18"/>
      <c r="B55" s="84" t="s">
        <v>139</v>
      </c>
      <c r="C55" s="18"/>
      <c r="D55" s="18"/>
      <c r="E55" s="18"/>
      <c r="F55" s="18"/>
      <c r="G55" s="18"/>
      <c r="H55" s="18"/>
      <c r="I55" s="18"/>
      <c r="J55" s="84" t="s">
        <v>2</v>
      </c>
      <c r="K55" s="84"/>
      <c r="L55" s="84"/>
      <c r="M55" s="84"/>
      <c r="N55" s="84"/>
    </row>
    <row r="56" spans="1:16" s="29" customFormat="1" ht="13" x14ac:dyDescent="0.35">
      <c r="A56" s="18"/>
      <c r="B56" s="277" t="str">
        <f>IF(vstupni_data!B6="","",vstupni_data!B6)</f>
        <v/>
      </c>
      <c r="C56" s="278"/>
      <c r="D56" s="278"/>
      <c r="E56" s="278"/>
      <c r="F56" s="278"/>
      <c r="G56" s="278"/>
      <c r="H56" s="279"/>
      <c r="I56" s="18"/>
      <c r="J56" s="277" t="str">
        <f>IF(vstupni_data!L6="","",vstupni_data!L6)</f>
        <v/>
      </c>
      <c r="K56" s="278"/>
      <c r="L56" s="278"/>
      <c r="M56" s="278"/>
      <c r="N56" s="279"/>
      <c r="O56" s="84"/>
      <c r="P56" s="139"/>
    </row>
    <row r="57" spans="1:16" s="21" customFormat="1" ht="13" x14ac:dyDescent="0.25">
      <c r="A57" s="29"/>
      <c r="B57" s="53"/>
      <c r="C57" s="54"/>
      <c r="D57" s="29"/>
      <c r="E57" s="29"/>
      <c r="F57" s="29"/>
      <c r="G57" s="29"/>
      <c r="H57" s="29"/>
      <c r="I57" s="29"/>
      <c r="J57" s="29"/>
      <c r="K57" s="29"/>
      <c r="L57" s="29"/>
      <c r="M57" s="29"/>
      <c r="N57" s="29"/>
    </row>
    <row r="58" spans="1:16" s="21" customFormat="1" ht="20.25" customHeight="1" x14ac:dyDescent="0.25">
      <c r="A58" s="18"/>
      <c r="B58" s="65" t="s">
        <v>77</v>
      </c>
      <c r="C58" s="56"/>
      <c r="D58" s="18"/>
      <c r="E58" s="18"/>
      <c r="F58" s="67"/>
      <c r="G58" s="56"/>
      <c r="H58" s="18"/>
      <c r="I58" s="18"/>
      <c r="J58" s="18"/>
      <c r="K58" s="18"/>
      <c r="L58" s="18"/>
      <c r="M58" s="18"/>
      <c r="N58" s="18"/>
    </row>
    <row r="59" spans="1:16" s="17" customFormat="1" x14ac:dyDescent="0.35">
      <c r="A59" s="18"/>
      <c r="B59" s="70" t="e">
        <f>IF(vstupni_data!#REF!="","","x")</f>
        <v>#REF!</v>
      </c>
      <c r="C59" s="18"/>
      <c r="D59" s="18" t="s">
        <v>78</v>
      </c>
      <c r="E59" s="18"/>
      <c r="F59" s="70" t="e">
        <f>IF(vstupni_data!#REF!="","x","")</f>
        <v>#REF!</v>
      </c>
      <c r="G59" s="18"/>
      <c r="H59" s="18" t="s">
        <v>79</v>
      </c>
      <c r="I59" s="18"/>
      <c r="J59" s="18"/>
      <c r="K59" s="18"/>
      <c r="L59" s="18"/>
      <c r="M59" s="18"/>
      <c r="N59" s="18"/>
    </row>
    <row r="60" spans="1:16" ht="11.25" customHeight="1" x14ac:dyDescent="0.35">
      <c r="A60" s="29"/>
      <c r="B60" s="53"/>
      <c r="C60" s="54"/>
      <c r="D60" s="29"/>
      <c r="E60" s="29"/>
      <c r="F60" s="29"/>
      <c r="G60" s="29"/>
      <c r="H60" s="29"/>
      <c r="I60" s="29"/>
      <c r="J60" s="29"/>
      <c r="K60" s="29"/>
      <c r="L60" s="29"/>
      <c r="M60" s="29"/>
      <c r="N60" s="29"/>
    </row>
    <row r="61" spans="1:16" s="21" customFormat="1" x14ac:dyDescent="0.25">
      <c r="A61" s="18"/>
      <c r="B61" s="65" t="s">
        <v>80</v>
      </c>
      <c r="C61" s="56"/>
      <c r="D61" s="18"/>
      <c r="E61" s="18"/>
      <c r="F61" s="67"/>
      <c r="G61" s="56"/>
      <c r="H61" s="18"/>
      <c r="I61" s="18"/>
      <c r="J61" s="18"/>
      <c r="K61" s="18"/>
      <c r="L61" s="18"/>
      <c r="M61" s="18"/>
      <c r="N61" s="18"/>
    </row>
    <row r="62" spans="1:16" x14ac:dyDescent="0.35">
      <c r="A62" s="18"/>
      <c r="B62" s="70" t="e">
        <f>IF(vstupni_data!#REF!="","","x")</f>
        <v>#REF!</v>
      </c>
      <c r="C62" s="18"/>
      <c r="D62" s="18" t="s">
        <v>78</v>
      </c>
      <c r="E62" s="18"/>
      <c r="F62" s="66" t="e">
        <f>IF(vstupni_data!#REF!="","x","")</f>
        <v>#REF!</v>
      </c>
      <c r="G62" s="18"/>
      <c r="H62" s="18" t="s">
        <v>79</v>
      </c>
      <c r="I62" s="18"/>
      <c r="J62" s="18"/>
      <c r="K62" s="18"/>
      <c r="L62" s="18"/>
      <c r="M62" s="18"/>
      <c r="N62" s="18"/>
    </row>
    <row r="63" spans="1:16" s="21" customFormat="1" ht="11.25" customHeight="1" x14ac:dyDescent="0.25">
      <c r="A63" s="17"/>
      <c r="B63" s="53"/>
      <c r="C63" s="54"/>
      <c r="D63" s="17"/>
      <c r="E63" s="17"/>
      <c r="F63" s="17"/>
      <c r="G63" s="17"/>
      <c r="H63" s="17"/>
      <c r="I63" s="17"/>
      <c r="J63" s="17"/>
      <c r="K63" s="17"/>
      <c r="L63" s="17"/>
      <c r="M63" s="17"/>
      <c r="N63" s="17"/>
    </row>
    <row r="64" spans="1:16" x14ac:dyDescent="0.35">
      <c r="A64" s="56"/>
      <c r="B64" s="65" t="s">
        <v>140</v>
      </c>
      <c r="C64" s="56"/>
      <c r="D64" s="57"/>
      <c r="E64" s="57"/>
      <c r="F64" s="57"/>
      <c r="G64" s="57"/>
      <c r="H64" s="56"/>
      <c r="I64" s="56"/>
      <c r="J64" s="56"/>
      <c r="K64" s="56"/>
      <c r="L64" s="56"/>
      <c r="M64" s="56"/>
      <c r="N64" s="56"/>
    </row>
    <row r="65" spans="1:14" s="21" customFormat="1" x14ac:dyDescent="0.25">
      <c r="A65" s="18"/>
      <c r="B65" s="69" t="str">
        <f>IF(AND(OR(_37&lt;&gt;0,_101&gt;0,_102&gt;0,_104&gt;0),vstupni_data!B65="x"),vstupni_data!B65,"")</f>
        <v/>
      </c>
      <c r="C65" s="56"/>
      <c r="D65" s="18" t="s">
        <v>141</v>
      </c>
      <c r="E65" s="18"/>
      <c r="F65" s="18"/>
      <c r="G65" s="18"/>
      <c r="H65" s="56"/>
      <c r="I65" s="56"/>
      <c r="J65" s="56"/>
      <c r="K65" s="18"/>
      <c r="L65" s="18"/>
      <c r="M65" s="18"/>
      <c r="N65" s="18"/>
    </row>
    <row r="66" spans="1:14" ht="12.75" customHeight="1" x14ac:dyDescent="0.35">
      <c r="A66" s="56"/>
      <c r="B66" s="68"/>
      <c r="C66" s="56"/>
      <c r="D66" s="56"/>
      <c r="E66" s="56"/>
      <c r="F66" s="56"/>
      <c r="G66" s="56"/>
      <c r="H66" s="56"/>
      <c r="I66" s="56"/>
      <c r="J66" s="56"/>
      <c r="K66" s="56"/>
      <c r="L66" s="56"/>
      <c r="M66" s="56"/>
      <c r="N66" s="56"/>
    </row>
    <row r="67" spans="1:14" s="21" customFormat="1" x14ac:dyDescent="0.25">
      <c r="A67" s="18"/>
      <c r="B67" s="69" t="str">
        <f>IF(AND(OR(_37&lt;&gt;0,_101&gt;0,_102&gt;0,_104&gt;0),vstupni_data!B70="x"),vstupni_data!B70,"")</f>
        <v/>
      </c>
      <c r="C67" s="56"/>
      <c r="D67" s="18" t="s">
        <v>142</v>
      </c>
      <c r="E67" s="18"/>
      <c r="F67" s="18"/>
      <c r="G67" s="18"/>
      <c r="H67" s="56"/>
      <c r="I67" s="56"/>
      <c r="J67" s="56"/>
      <c r="K67" s="18"/>
      <c r="L67" s="18"/>
      <c r="M67" s="18"/>
      <c r="N67" s="18"/>
    </row>
    <row r="68" spans="1:14" ht="12" customHeight="1" x14ac:dyDescent="0.35">
      <c r="A68" s="56"/>
      <c r="B68" s="68"/>
      <c r="C68" s="56"/>
      <c r="D68" s="56"/>
      <c r="E68" s="56"/>
      <c r="F68" s="56"/>
      <c r="G68" s="56"/>
      <c r="H68" s="56"/>
      <c r="I68" s="56"/>
      <c r="J68" s="56"/>
      <c r="K68" s="56"/>
      <c r="L68" s="56"/>
      <c r="M68" s="56"/>
      <c r="N68" s="56"/>
    </row>
    <row r="69" spans="1:14" s="21" customFormat="1" x14ac:dyDescent="0.25">
      <c r="A69" s="18"/>
      <c r="B69" s="69" t="str">
        <f>IF(AND(OR(_37&lt;&gt;0,_101&gt;0,_102&gt;0,_104&gt;0),vstupni_data!B72="x"),vstupni_data!B72,"")</f>
        <v/>
      </c>
      <c r="C69" s="56"/>
      <c r="D69" s="18" t="s">
        <v>57</v>
      </c>
      <c r="E69" s="18"/>
      <c r="F69" s="18"/>
      <c r="G69" s="18"/>
      <c r="H69" s="56"/>
      <c r="I69" s="56"/>
      <c r="J69" s="56"/>
      <c r="K69" s="18"/>
      <c r="L69" s="18"/>
      <c r="M69" s="18"/>
      <c r="N69" s="18"/>
    </row>
    <row r="70" spans="1:14" ht="13.5" customHeight="1" x14ac:dyDescent="0.35">
      <c r="A70" s="56"/>
      <c r="B70" s="68"/>
      <c r="C70" s="56"/>
      <c r="D70" s="56"/>
      <c r="E70" s="56"/>
      <c r="F70" s="56"/>
      <c r="G70" s="56"/>
      <c r="H70" s="56"/>
      <c r="I70" s="56"/>
      <c r="J70" s="56"/>
      <c r="K70" s="56"/>
      <c r="L70" s="56"/>
      <c r="M70" s="56"/>
      <c r="N70" s="56"/>
    </row>
    <row r="71" spans="1:14" s="21" customFormat="1" x14ac:dyDescent="0.25">
      <c r="A71" s="18"/>
      <c r="B71" s="55" t="str">
        <f>IF(AND(OR(_37&lt;&gt;0,_101&gt;0,_102&gt;0,_104&gt;0),vstupni_data!B74="x"),vstupni_data!B74,"")</f>
        <v/>
      </c>
      <c r="C71" s="56"/>
      <c r="D71" s="18" t="s">
        <v>58</v>
      </c>
      <c r="E71" s="18"/>
      <c r="F71" s="18"/>
      <c r="G71" s="18"/>
      <c r="H71" s="56"/>
      <c r="I71" s="56"/>
      <c r="J71" s="56"/>
      <c r="K71" s="18"/>
      <c r="L71" s="18"/>
      <c r="M71" s="18"/>
      <c r="N71" s="18"/>
    </row>
    <row r="72" spans="1:14" ht="12.75" customHeight="1" x14ac:dyDescent="0.35">
      <c r="A72" s="56"/>
      <c r="B72" s="68"/>
      <c r="C72" s="56"/>
      <c r="D72" s="57"/>
      <c r="E72" s="56"/>
      <c r="F72" s="56"/>
      <c r="G72" s="56"/>
      <c r="H72" s="56"/>
      <c r="I72" s="56"/>
      <c r="J72" s="56"/>
      <c r="K72" s="56"/>
      <c r="L72" s="56"/>
      <c r="M72" s="56"/>
      <c r="N72" s="56"/>
    </row>
    <row r="73" spans="1:14" s="21" customFormat="1" x14ac:dyDescent="0.25">
      <c r="A73" s="18"/>
      <c r="B73" s="69" t="str">
        <f>IF(AND(OR(_37&lt;&gt;0,_101&gt;0,_102&gt;0,_104&gt;0),vstupni_data!B76="x"),vstupni_data!B76,"")</f>
        <v/>
      </c>
      <c r="C73" s="56"/>
      <c r="D73" s="18" t="s">
        <v>143</v>
      </c>
      <c r="E73" s="18"/>
      <c r="F73" s="18"/>
      <c r="G73" s="18"/>
      <c r="H73" s="56"/>
      <c r="I73" s="56"/>
      <c r="J73" s="56"/>
      <c r="K73" s="18"/>
      <c r="L73" s="18"/>
      <c r="M73" s="18"/>
      <c r="N73" s="18"/>
    </row>
    <row r="74" spans="1:14" s="17" customFormat="1" ht="0.75" hidden="1" customHeight="1" x14ac:dyDescent="0.35">
      <c r="A74" s="56"/>
      <c r="B74" s="68"/>
      <c r="C74" s="56"/>
      <c r="D74" s="56"/>
      <c r="E74" s="56"/>
      <c r="F74" s="56"/>
      <c r="G74" s="56"/>
      <c r="H74" s="56"/>
      <c r="I74" s="56"/>
      <c r="J74" s="56"/>
      <c r="K74" s="56"/>
      <c r="L74" s="56"/>
      <c r="M74" s="56"/>
      <c r="N74" s="56"/>
    </row>
    <row r="75" spans="1:14" hidden="1" x14ac:dyDescent="0.35">
      <c r="A75" s="18"/>
      <c r="B75" s="69" t="str">
        <f>IF(vstupni_data!B78="","",vstupni_data!B78)</f>
        <v/>
      </c>
      <c r="C75" s="56"/>
      <c r="D75" s="18" t="s">
        <v>144</v>
      </c>
      <c r="E75" s="18"/>
      <c r="F75" s="18"/>
      <c r="G75" s="18"/>
      <c r="H75" s="56"/>
      <c r="I75" s="56"/>
      <c r="J75" s="56"/>
      <c r="K75" s="18"/>
      <c r="L75" s="18"/>
      <c r="M75" s="18"/>
      <c r="N75" s="18"/>
    </row>
    <row r="76" spans="1:14" s="21" customFormat="1" ht="11.25" customHeight="1" x14ac:dyDescent="0.25">
      <c r="A76" s="56"/>
      <c r="B76" s="68"/>
      <c r="C76" s="56"/>
      <c r="D76" s="56"/>
      <c r="E76" s="56"/>
      <c r="F76" s="56"/>
      <c r="G76" s="56"/>
      <c r="H76" s="56"/>
      <c r="I76" s="56"/>
      <c r="J76" s="56"/>
      <c r="K76" s="56"/>
      <c r="L76" s="56"/>
      <c r="M76" s="56"/>
      <c r="N76" s="56"/>
    </row>
    <row r="77" spans="1:14" x14ac:dyDescent="0.35">
      <c r="A77" s="18"/>
      <c r="B77" s="70" t="str">
        <f>IF(AND(OR(_37&lt;&gt;0,_101&gt;0,_102&gt;0,_104&gt;0),vstupni_data!B80="x"),vstupni_data!B80,"")</f>
        <v/>
      </c>
      <c r="C77" s="18"/>
      <c r="D77" s="18" t="s">
        <v>145</v>
      </c>
      <c r="E77" s="18"/>
      <c r="F77" s="18"/>
      <c r="G77" s="18"/>
      <c r="H77" s="18"/>
      <c r="I77" s="18"/>
      <c r="J77" s="18"/>
      <c r="K77" s="18"/>
      <c r="L77" s="18"/>
      <c r="M77" s="18"/>
      <c r="N77" s="18"/>
    </row>
    <row r="78" spans="1:14" s="21" customFormat="1" ht="12" customHeight="1" x14ac:dyDescent="0.25">
      <c r="A78" s="17"/>
      <c r="B78" s="53"/>
      <c r="C78" s="54"/>
      <c r="D78" s="17"/>
      <c r="E78" s="17"/>
      <c r="F78" s="17"/>
      <c r="G78" s="17"/>
      <c r="H78" s="17"/>
      <c r="I78" s="17"/>
      <c r="J78" s="17"/>
      <c r="K78" s="17"/>
      <c r="L78" s="17"/>
      <c r="M78" s="17"/>
      <c r="N78" s="17"/>
    </row>
    <row r="79" spans="1:14" x14ac:dyDescent="0.35">
      <c r="A79" s="56"/>
      <c r="B79" s="65" t="s">
        <v>140</v>
      </c>
      <c r="C79" s="56"/>
      <c r="D79" s="56"/>
      <c r="E79" s="56"/>
      <c r="F79" s="56"/>
      <c r="G79" s="56"/>
      <c r="H79" s="56"/>
      <c r="I79" s="56"/>
      <c r="J79" s="56"/>
      <c r="K79" s="56"/>
      <c r="L79" s="56"/>
      <c r="M79" s="56"/>
      <c r="N79" s="56"/>
    </row>
    <row r="80" spans="1:14" s="21" customFormat="1" x14ac:dyDescent="0.25">
      <c r="A80" s="18"/>
      <c r="B80" s="69" t="str">
        <f>IF(AND(OR(_37&lt;&gt;0,_101&gt;0,_102&gt;0,_104&gt;0),vstupni_data!B83="x"),vstupni_data!B83,"")</f>
        <v/>
      </c>
      <c r="C80" s="56"/>
      <c r="D80" s="18" t="s">
        <v>146</v>
      </c>
      <c r="E80" s="18"/>
      <c r="F80" s="18"/>
      <c r="G80" s="18"/>
      <c r="H80" s="18"/>
      <c r="I80" s="18"/>
      <c r="J80" s="18"/>
      <c r="K80" s="18"/>
      <c r="L80" s="18"/>
      <c r="M80" s="18"/>
      <c r="N80" s="18"/>
    </row>
    <row r="81" spans="1:14" ht="12" customHeight="1" x14ac:dyDescent="0.35">
      <c r="A81" s="56"/>
      <c r="B81" s="68"/>
      <c r="C81" s="56"/>
      <c r="D81" s="57"/>
      <c r="E81" s="56"/>
      <c r="F81" s="56"/>
      <c r="G81" s="56"/>
      <c r="H81" s="56"/>
      <c r="I81" s="56"/>
      <c r="J81" s="56"/>
      <c r="K81" s="56"/>
      <c r="L81" s="56"/>
      <c r="M81" s="56"/>
      <c r="N81" s="56"/>
    </row>
    <row r="82" spans="1:14" x14ac:dyDescent="0.35">
      <c r="A82" s="18"/>
      <c r="B82" s="69" t="str">
        <f>IF(AND(OR(_37&lt;&gt;0,_101&gt;0,_102&gt;0,_104&gt;0),vstupni_data!B67="x"),vstupni_data!B67,"")</f>
        <v/>
      </c>
      <c r="C82" s="56"/>
      <c r="D82" s="18" t="s">
        <v>147</v>
      </c>
      <c r="E82" s="18"/>
      <c r="F82" s="18"/>
      <c r="G82" s="18"/>
      <c r="H82" s="18"/>
      <c r="I82" s="18"/>
      <c r="J82" s="18"/>
      <c r="K82" s="18"/>
      <c r="L82" s="18"/>
      <c r="M82" s="18"/>
      <c r="N82" s="18"/>
    </row>
    <row r="83" spans="1:14" s="21" customFormat="1" ht="12.75" customHeight="1" x14ac:dyDescent="0.25">
      <c r="A83" s="56"/>
      <c r="B83" s="68"/>
      <c r="C83" s="57"/>
      <c r="D83" s="56"/>
      <c r="E83" s="56"/>
      <c r="F83" s="56"/>
      <c r="G83" s="56"/>
      <c r="H83" s="56"/>
      <c r="I83" s="56"/>
      <c r="J83" s="56"/>
      <c r="K83" s="56"/>
      <c r="L83" s="56"/>
      <c r="M83" s="56"/>
      <c r="N83" s="56"/>
    </row>
    <row r="84" spans="1:14" ht="12.75" customHeight="1" x14ac:dyDescent="0.35">
      <c r="A84" s="18"/>
      <c r="B84" s="69" t="str">
        <f>IF(AND(OR(_37&lt;&gt;0,_101&gt;0,_102&gt;0,_104&gt;0),vstupni_data!B85="x"),vstupni_data!B85,"")</f>
        <v/>
      </c>
      <c r="C84" s="56"/>
      <c r="D84" s="18" t="s">
        <v>63</v>
      </c>
      <c r="E84" s="18"/>
      <c r="F84" s="18"/>
      <c r="G84" s="18"/>
      <c r="H84" s="18"/>
      <c r="I84" s="18"/>
      <c r="J84" s="18"/>
      <c r="K84" s="18"/>
      <c r="L84" s="18"/>
      <c r="M84" s="18"/>
      <c r="N84" s="18"/>
    </row>
    <row r="85" spans="1:14" s="21" customFormat="1" x14ac:dyDescent="0.25">
      <c r="A85" s="56"/>
      <c r="B85" s="68"/>
      <c r="C85" s="56"/>
      <c r="D85" s="57"/>
      <c r="E85" s="56"/>
      <c r="F85" s="56"/>
      <c r="G85" s="56"/>
      <c r="H85" s="56"/>
      <c r="I85" s="56"/>
      <c r="J85" s="56"/>
      <c r="K85" s="56"/>
      <c r="L85" s="56"/>
      <c r="M85" s="56"/>
      <c r="N85" s="56"/>
    </row>
    <row r="86" spans="1:14" ht="17.25" customHeight="1" x14ac:dyDescent="0.35">
      <c r="A86" s="56"/>
      <c r="B86" s="69" t="str">
        <f>IF(AND(OR(_37&lt;&gt;0,_101&gt;0,_102&gt;0,_104&gt;0),vstupni_data!B87="x"),vstupni_data!B87,"")</f>
        <v/>
      </c>
      <c r="C86" s="56"/>
      <c r="D86" s="57" t="s">
        <v>148</v>
      </c>
      <c r="E86" s="56"/>
      <c r="F86" s="56"/>
      <c r="G86" s="56"/>
      <c r="H86" s="56"/>
      <c r="I86" s="56"/>
      <c r="J86" s="56"/>
      <c r="K86" s="56"/>
      <c r="L86" s="56"/>
      <c r="M86" s="56"/>
      <c r="N86" s="56"/>
    </row>
    <row r="87" spans="1:14" s="21" customFormat="1" ht="10.5" customHeight="1" x14ac:dyDescent="0.25">
      <c r="A87" s="18"/>
      <c r="B87" s="57"/>
      <c r="C87" s="56"/>
      <c r="D87" s="18" t="s">
        <v>65</v>
      </c>
      <c r="E87" s="18"/>
      <c r="F87" s="18"/>
      <c r="G87" s="18"/>
      <c r="H87" s="18"/>
      <c r="I87" s="18"/>
      <c r="J87" s="18"/>
      <c r="K87" s="18"/>
      <c r="L87" s="18"/>
      <c r="M87" s="18"/>
      <c r="N87" s="18"/>
    </row>
    <row r="88" spans="1:14" s="17" customFormat="1" ht="12" customHeight="1" x14ac:dyDescent="0.35">
      <c r="A88" s="56"/>
      <c r="B88" s="68"/>
      <c r="C88" s="56"/>
      <c r="D88" s="56"/>
      <c r="E88" s="56"/>
      <c r="F88" s="56"/>
      <c r="G88" s="56"/>
      <c r="H88" s="56"/>
      <c r="I88" s="56"/>
      <c r="J88" s="56"/>
      <c r="K88" s="56"/>
      <c r="L88" s="56"/>
      <c r="M88" s="56"/>
      <c r="N88" s="56"/>
    </row>
    <row r="89" spans="1:14" s="21" customFormat="1" x14ac:dyDescent="0.25">
      <c r="A89" s="18"/>
      <c r="B89" s="69" t="str">
        <f>IF(AND(OR(_37&lt;&gt;0,_101&gt;0,_102&gt;0,_104&gt;0),vstupni_data!B90="x"),vstupni_data!B90,"")</f>
        <v/>
      </c>
      <c r="C89" s="56"/>
      <c r="D89" s="18" t="s">
        <v>66</v>
      </c>
      <c r="E89" s="18"/>
      <c r="F89" s="18"/>
      <c r="G89" s="18"/>
      <c r="H89" s="18"/>
      <c r="I89" s="18"/>
      <c r="J89" s="18"/>
      <c r="K89" s="18"/>
      <c r="L89" s="18"/>
      <c r="M89" s="18"/>
      <c r="N89" s="18"/>
    </row>
    <row r="90" spans="1:14" s="21" customFormat="1" ht="12" customHeight="1" x14ac:dyDescent="0.25">
      <c r="A90" s="56"/>
      <c r="B90" s="68"/>
      <c r="C90" s="56"/>
      <c r="D90" s="56"/>
      <c r="E90" s="56"/>
      <c r="F90" s="56"/>
      <c r="G90" s="56"/>
      <c r="H90" s="56"/>
      <c r="I90" s="56"/>
      <c r="J90" s="56"/>
      <c r="K90" s="56"/>
      <c r="L90" s="56"/>
      <c r="M90" s="56"/>
      <c r="N90" s="56"/>
    </row>
    <row r="91" spans="1:14" s="21" customFormat="1" ht="12.5" x14ac:dyDescent="0.25">
      <c r="A91" s="18"/>
      <c r="B91" s="70" t="str">
        <f>IF(AND(OR(_37&lt;&gt;0,_101&gt;0,_102&gt;0,_104&gt;0),vstupni_data!B92="x"),vstupni_data!B92,"")</f>
        <v/>
      </c>
      <c r="C91" s="18"/>
      <c r="D91" s="18" t="s">
        <v>149</v>
      </c>
      <c r="E91" s="18"/>
      <c r="F91" s="18"/>
      <c r="G91" s="18"/>
      <c r="H91" s="18"/>
      <c r="I91" s="18"/>
      <c r="J91" s="18"/>
      <c r="K91" s="18"/>
      <c r="L91" s="18"/>
      <c r="M91" s="18"/>
      <c r="N91" s="18"/>
    </row>
    <row r="92" spans="1:14" s="21" customFormat="1" ht="12" customHeight="1" x14ac:dyDescent="0.25">
      <c r="A92" s="17"/>
      <c r="B92" s="53"/>
      <c r="C92" s="54"/>
      <c r="D92" s="17"/>
      <c r="E92" s="17"/>
      <c r="F92" s="17"/>
      <c r="G92" s="17"/>
      <c r="H92" s="17"/>
      <c r="I92" s="17"/>
      <c r="J92" s="17"/>
      <c r="K92" s="17"/>
      <c r="L92" s="17"/>
      <c r="M92" s="17"/>
      <c r="N92" s="17"/>
    </row>
    <row r="93" spans="1:14" s="21" customFormat="1" x14ac:dyDescent="0.25">
      <c r="A93" s="18"/>
      <c r="B93" s="65" t="s">
        <v>3</v>
      </c>
      <c r="C93" s="56"/>
      <c r="D93" s="18"/>
      <c r="E93" s="18"/>
      <c r="F93" s="68"/>
      <c r="G93" s="56"/>
      <c r="H93" s="18"/>
      <c r="I93" s="18"/>
      <c r="J93" s="18"/>
      <c r="K93" s="56"/>
      <c r="L93" s="18"/>
      <c r="M93" s="18"/>
      <c r="N93" s="18"/>
    </row>
    <row r="94" spans="1:14" x14ac:dyDescent="0.35">
      <c r="A94" s="18"/>
      <c r="B94" s="71" t="str">
        <f>IF(vstupni_data!B9="","","x")</f>
        <v/>
      </c>
      <c r="C94" s="56"/>
      <c r="D94" s="18" t="s">
        <v>78</v>
      </c>
      <c r="E94" s="18"/>
      <c r="F94" s="70" t="str">
        <f>IF(vstupni_data!B9="","x","")</f>
        <v>x</v>
      </c>
      <c r="G94" s="18"/>
      <c r="H94" s="18" t="s">
        <v>79</v>
      </c>
      <c r="I94" s="18"/>
      <c r="J94" s="18"/>
      <c r="K94" s="18"/>
      <c r="L94" s="18"/>
      <c r="M94" s="18"/>
      <c r="N94" s="18"/>
    </row>
    <row r="95" spans="1:14" s="17" customFormat="1" ht="13.5" customHeight="1" x14ac:dyDescent="0.35">
      <c r="A95" s="29"/>
      <c r="B95" s="29"/>
      <c r="D95" s="29"/>
      <c r="E95" s="29"/>
      <c r="F95" s="29"/>
      <c r="G95" s="29"/>
      <c r="H95" s="29"/>
      <c r="I95" s="29"/>
      <c r="J95" s="29"/>
      <c r="K95" s="29"/>
      <c r="L95" s="75"/>
      <c r="M95" s="85"/>
      <c r="N95" s="75"/>
    </row>
    <row r="96" spans="1:14" ht="15.75" customHeight="1" x14ac:dyDescent="0.35">
      <c r="A96" s="18"/>
      <c r="B96" s="57" t="s">
        <v>150</v>
      </c>
      <c r="C96" s="72"/>
      <c r="D96" s="72"/>
      <c r="E96" s="72"/>
      <c r="F96" s="72"/>
      <c r="G96" s="72"/>
      <c r="H96" s="72"/>
      <c r="I96" s="72"/>
      <c r="J96" s="72"/>
      <c r="K96" s="18"/>
      <c r="L96" s="86" t="s">
        <v>7</v>
      </c>
      <c r="M96" s="18"/>
      <c r="N96" s="86" t="s">
        <v>8</v>
      </c>
    </row>
    <row r="97" spans="1:14" s="17" customFormat="1" ht="15" customHeight="1" x14ac:dyDescent="0.35">
      <c r="A97" s="58"/>
      <c r="B97" s="329">
        <f>vstupni_data!B12</f>
        <v>0</v>
      </c>
      <c r="C97" s="330"/>
      <c r="D97" s="330"/>
      <c r="E97" s="330"/>
      <c r="F97" s="330"/>
      <c r="G97" s="330"/>
      <c r="H97" s="330"/>
      <c r="I97" s="330"/>
      <c r="J97" s="331"/>
      <c r="K97" s="58"/>
      <c r="L97" s="280" t="str">
        <f>vstupni_data!Q12</f>
        <v/>
      </c>
      <c r="M97" s="18"/>
      <c r="N97" s="280" t="str">
        <f>vstupni_data!S12</f>
        <v/>
      </c>
    </row>
    <row r="98" spans="1:14" x14ac:dyDescent="0.35">
      <c r="A98" s="18"/>
      <c r="B98" s="332"/>
      <c r="C98" s="333"/>
      <c r="D98" s="333"/>
      <c r="E98" s="333"/>
      <c r="F98" s="333"/>
      <c r="G98" s="333"/>
      <c r="H98" s="333"/>
      <c r="I98" s="333"/>
      <c r="J98" s="334"/>
      <c r="K98" s="18"/>
      <c r="L98" s="281"/>
      <c r="M98" s="18"/>
      <c r="N98" s="281"/>
    </row>
    <row r="99" spans="1:14" s="17" customFormat="1" x14ac:dyDescent="0.3">
      <c r="A99" s="29"/>
      <c r="B99" s="59"/>
      <c r="C99" s="29"/>
      <c r="D99" s="29"/>
      <c r="E99" s="29"/>
      <c r="F99" s="29"/>
      <c r="G99" s="29"/>
      <c r="H99" s="29"/>
      <c r="I99" s="29"/>
      <c r="J99" s="29"/>
      <c r="K99" s="29"/>
      <c r="L99" s="74"/>
      <c r="M99" s="75"/>
      <c r="N99" s="74"/>
    </row>
    <row r="100" spans="1:14" x14ac:dyDescent="0.35">
      <c r="A100" s="18"/>
      <c r="B100" s="87" t="s">
        <v>69</v>
      </c>
      <c r="C100" s="18"/>
      <c r="D100" s="18"/>
      <c r="E100" s="18"/>
      <c r="F100" s="18"/>
      <c r="G100" s="18"/>
      <c r="H100" s="18"/>
      <c r="I100" s="18"/>
      <c r="J100" s="18"/>
      <c r="K100" s="60"/>
      <c r="L100" s="88" t="s">
        <v>70</v>
      </c>
      <c r="M100" s="76"/>
      <c r="N100" s="88" t="s">
        <v>71</v>
      </c>
    </row>
    <row r="101" spans="1:14" x14ac:dyDescent="0.35">
      <c r="A101" s="29"/>
      <c r="B101" s="79" t="s">
        <v>72</v>
      </c>
      <c r="C101" s="29"/>
      <c r="D101" s="29"/>
      <c r="E101" s="29"/>
      <c r="F101" s="29"/>
      <c r="G101" s="29"/>
      <c r="H101" s="29"/>
      <c r="I101" s="29"/>
      <c r="J101" s="29"/>
      <c r="K101" s="29"/>
      <c r="L101" s="140">
        <f>prijmy!C3</f>
        <v>0</v>
      </c>
      <c r="M101" s="52"/>
      <c r="N101" s="80">
        <f>IF(AND(_PZZ1 &gt;= 0,_PZP1 &gt;= 0,_OP1 &gt;= 0),_PZZ1,IF(AND(AND(_PZZ1 &gt;= 0,_PZP1 &lt; 0,_OP1 &gt;=0),_PZZ1 + _PZP1/12  &gt;=  0),_PZZ1 + _PZP1/12,IF(AND(AND(_PZZ1 &gt;= 0,_PZP1 &gt;= 0,_OP1 &lt; 0),_OP1 + _PZZ1 &gt;= 0),_OP1 + _PZZ1,IF(AND(AND(_PZZ1&gt;= 0,_PZP1&lt; 0,_OP1&lt; 0),_OP1+_PZP1/12+_PZZ1&gt;= 0),_OP1+_PZP1/12+_PZZ1,0))))</f>
        <v>0</v>
      </c>
    </row>
    <row r="102" spans="1:14" s="62" customFormat="1" ht="13" x14ac:dyDescent="0.25">
      <c r="A102" s="18"/>
      <c r="B102" s="20" t="s">
        <v>73</v>
      </c>
      <c r="C102" s="18"/>
      <c r="D102" s="18"/>
      <c r="E102" s="18"/>
      <c r="F102" s="18"/>
      <c r="G102" s="18"/>
      <c r="H102" s="18"/>
      <c r="I102" s="18"/>
      <c r="J102" s="18"/>
      <c r="K102" s="60"/>
      <c r="L102" s="76"/>
      <c r="M102" s="76"/>
      <c r="N102" s="76"/>
    </row>
    <row r="103" spans="1:14" x14ac:dyDescent="0.35">
      <c r="A103" s="29"/>
      <c r="B103" s="79" t="s">
        <v>74</v>
      </c>
      <c r="C103" s="29"/>
      <c r="D103" s="29"/>
      <c r="E103" s="29"/>
      <c r="F103" s="29"/>
      <c r="G103" s="29"/>
      <c r="H103" s="29"/>
      <c r="I103" s="29"/>
      <c r="J103" s="29"/>
      <c r="K103" s="29"/>
      <c r="L103" s="140">
        <f>prijmy!C11</f>
        <v>0</v>
      </c>
      <c r="M103" s="52"/>
      <c r="N103" s="80">
        <f>IF(OR(_PZP1&lt;0,AND(AND(_PZZ1&gt;=0,_PZP1&gt;=0,_OP1&lt;0),_OP1+_PZZ1+_PZP1/12&lt;0)),0,IF(OR((AND(_PZZ1&gt;=0,_PZP1&gt;=0,_OP1&gt;=0)),AND(AND(_PZZ1&gt;=0,_PZP1&gt;= 0,_OP1&lt;0),(_OP1+_PZZ1&gt;=0))),_PZP1,IF(AND(AND(_PZZ1 &gt;= 0,_PZP1 &gt;= 0,_OP1 &lt; 0),_OP1 + _PZZ1 + _PZP1/12  &gt;= 0),(_OP1 + _PZZ1 + _PZP1/12)*12)))</f>
        <v>0</v>
      </c>
    </row>
    <row r="104" spans="1:14" s="18" customFormat="1" ht="13" x14ac:dyDescent="0.35">
      <c r="B104" s="20" t="s">
        <v>75</v>
      </c>
      <c r="K104" s="60"/>
      <c r="L104" s="76"/>
      <c r="M104" s="76"/>
      <c r="N104" s="76"/>
    </row>
    <row r="105" spans="1:14" s="18" customFormat="1" ht="13" x14ac:dyDescent="0.35">
      <c r="B105" s="61" t="s">
        <v>76</v>
      </c>
      <c r="L105" s="73">
        <f>prijmy!C23</f>
        <v>0</v>
      </c>
      <c r="M105" s="61"/>
      <c r="N105" s="141">
        <f>IF(OR(_OP1&lt;0,AND(AND(_PZZ1&gt;=0,_PZP1&lt;0,_OP1&gt;=0),_PZZ1+_PZP1/12+_OP1&lt;0)),0,IF(OR((AND(_PZZ1&gt;=0,_PZP1&gt;=0,_OP1&gt;=0)),AND(AND(_PZZ1&gt;=0,_PZP1&lt;0,_OP1&gt;=0),(_PZZ1+_PZP1/12&gt;=0))),_OP1,IF(AND(AND(_PZZ1&gt;=0,_PZP1&lt;0,_OP1&gt;=0),_PZZ1+_PZP1/12+_OP1&gt;=0),_PZZ1+_PZP1/12+_OP1)))</f>
        <v>0</v>
      </c>
    </row>
    <row r="106" spans="1:14" x14ac:dyDescent="0.35">
      <c r="A106" s="18"/>
      <c r="B106" s="83"/>
      <c r="C106" s="83"/>
      <c r="D106" s="83"/>
      <c r="E106" s="83"/>
      <c r="F106" s="82"/>
      <c r="G106" s="82"/>
      <c r="H106" s="63"/>
      <c r="I106" s="63"/>
      <c r="J106" s="63"/>
      <c r="K106" s="18"/>
      <c r="L106" s="77"/>
      <c r="M106" s="61"/>
      <c r="N106" s="77"/>
    </row>
    <row r="107" spans="1:14" x14ac:dyDescent="0.35">
      <c r="A107" s="18"/>
      <c r="B107" s="276">
        <f ca="1">TODAY()</f>
        <v>45777</v>
      </c>
      <c r="C107" s="276"/>
      <c r="D107" s="276"/>
      <c r="E107" s="81"/>
      <c r="F107" s="81"/>
      <c r="G107" s="81"/>
      <c r="H107" s="64"/>
      <c r="I107" s="64"/>
      <c r="J107" s="64"/>
      <c r="K107" s="23"/>
      <c r="L107" s="78"/>
      <c r="M107" s="78"/>
      <c r="N107" s="78"/>
    </row>
    <row r="108" spans="1:14" x14ac:dyDescent="0.35">
      <c r="B108" s="61" t="s">
        <v>151</v>
      </c>
      <c r="L108" s="79" t="s">
        <v>152</v>
      </c>
      <c r="M108" s="79"/>
      <c r="N108" s="79"/>
    </row>
  </sheetData>
  <mergeCells count="78">
    <mergeCell ref="D18:K18"/>
    <mergeCell ref="J49:N49"/>
    <mergeCell ref="B56:H56"/>
    <mergeCell ref="J56:N56"/>
    <mergeCell ref="B97:J98"/>
    <mergeCell ref="B45:C45"/>
    <mergeCell ref="B46:C46"/>
    <mergeCell ref="B47:C47"/>
    <mergeCell ref="D45:M45"/>
    <mergeCell ref="D46:M46"/>
    <mergeCell ref="D47:M47"/>
    <mergeCell ref="B42:C42"/>
    <mergeCell ref="B43:C43"/>
    <mergeCell ref="B44:C44"/>
    <mergeCell ref="D42:M42"/>
    <mergeCell ref="D43:M43"/>
    <mergeCell ref="D44:M44"/>
    <mergeCell ref="B39:C39"/>
    <mergeCell ref="B40:C40"/>
    <mergeCell ref="B41:C41"/>
    <mergeCell ref="D39:M39"/>
    <mergeCell ref="D40:M40"/>
    <mergeCell ref="D41:M41"/>
    <mergeCell ref="B33:C33"/>
    <mergeCell ref="B34:C34"/>
    <mergeCell ref="B35:C35"/>
    <mergeCell ref="B38:C38"/>
    <mergeCell ref="D33:M33"/>
    <mergeCell ref="D34:M34"/>
    <mergeCell ref="D35:M35"/>
    <mergeCell ref="D38:M38"/>
    <mergeCell ref="B30:C30"/>
    <mergeCell ref="B31:C31"/>
    <mergeCell ref="B32:C32"/>
    <mergeCell ref="D30:M30"/>
    <mergeCell ref="D31:M31"/>
    <mergeCell ref="D32:M32"/>
    <mergeCell ref="B27:C27"/>
    <mergeCell ref="B28:C28"/>
    <mergeCell ref="B29:C29"/>
    <mergeCell ref="D27:M27"/>
    <mergeCell ref="D28:M28"/>
    <mergeCell ref="D29:M29"/>
    <mergeCell ref="B23:C23"/>
    <mergeCell ref="B24:C24"/>
    <mergeCell ref="D22:M22"/>
    <mergeCell ref="D23:M23"/>
    <mergeCell ref="D24:M24"/>
    <mergeCell ref="J2:N2"/>
    <mergeCell ref="B8:C8"/>
    <mergeCell ref="B10:C10"/>
    <mergeCell ref="B16:C16"/>
    <mergeCell ref="B17:C17"/>
    <mergeCell ref="L17:M17"/>
    <mergeCell ref="B5:M5"/>
    <mergeCell ref="D8:M8"/>
    <mergeCell ref="D10:M10"/>
    <mergeCell ref="D11:M11"/>
    <mergeCell ref="D12:M12"/>
    <mergeCell ref="D13:M13"/>
    <mergeCell ref="D16:M16"/>
    <mergeCell ref="D17:K17"/>
    <mergeCell ref="B107:D107"/>
    <mergeCell ref="B54:H54"/>
    <mergeCell ref="N97:N98"/>
    <mergeCell ref="L97:L98"/>
    <mergeCell ref="B11:C11"/>
    <mergeCell ref="B12:C12"/>
    <mergeCell ref="B13:C13"/>
    <mergeCell ref="B18:C18"/>
    <mergeCell ref="L18:M18"/>
    <mergeCell ref="B19:C19"/>
    <mergeCell ref="B20:C20"/>
    <mergeCell ref="B21:C21"/>
    <mergeCell ref="D19:M19"/>
    <mergeCell ref="D20:M20"/>
    <mergeCell ref="D21:M21"/>
    <mergeCell ref="B22:C22"/>
  </mergeCells>
  <conditionalFormatting sqref="L17:M18">
    <cfRule type="cellIs" dxfId="0" priority="1" stopIfTrue="1" operator="greaterThanOrEqual">
      <formula>0</formula>
    </cfRule>
  </conditionalFormatting>
  <pageMargins left="0.70866141732283472" right="0.70866141732283472" top="0.78740157480314965" bottom="0.78740157480314965" header="0.31496062992125984" footer="0.31496062992125984"/>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6be7efbd-1235-46ec-820f-b4d810fcbcb0" ContentTypeId="0x010100E9B21ABB10FC3C409AE69C687E14E6B0" PreviousValue="false"/>
</file>

<file path=customXml/item2.xml><?xml version="1.0" encoding="utf-8"?>
<ct:contentTypeSchema xmlns:ct="http://schemas.microsoft.com/office/2006/metadata/contentType" xmlns:ma="http://schemas.microsoft.com/office/2006/metadata/properties/metaAttributes" ct:_="" ma:_="" ma:contentTypeName="Kalkulačka" ma:contentTypeID="0x010100E9B21ABB10FC3C409AE69C687E14E6B000D7E14EC6F773E44297C3BD8255B9800100F40B6EDB6894B04A92208BDB5F4547D9" ma:contentTypeVersion="118" ma:contentTypeDescription="" ma:contentTypeScope="" ma:versionID="3cf3a7e0912c8b3ec34805ec58785c1d">
  <xsd:schema xmlns:xsd="http://www.w3.org/2001/XMLSchema" xmlns:xs="http://www.w3.org/2001/XMLSchema" xmlns:p="http://schemas.microsoft.com/office/2006/metadata/properties" xmlns:ns2="8d87b81d-37ba-449c-953e-9af555098459" xmlns:ns3="72820a5d-14bf-4cb7-9d9a-bee91911e72e" xmlns:ns4="c413268e-d524-45cb-8c33-4be28defaa8c" targetNamespace="http://schemas.microsoft.com/office/2006/metadata/properties" ma:root="true" ma:fieldsID="5e1ea9ca7199b84e73e7ef21b959a74a" ns2:_="" ns3:_="" ns4:_="">
    <xsd:import namespace="8d87b81d-37ba-449c-953e-9af555098459"/>
    <xsd:import namespace="72820a5d-14bf-4cb7-9d9a-bee91911e72e"/>
    <xsd:import namespace="c413268e-d524-45cb-8c33-4be28defaa8c"/>
    <xsd:element name="properties">
      <xsd:complexType>
        <xsd:sequence>
          <xsd:element name="documentManagement">
            <xsd:complexType>
              <xsd:all>
                <xsd:element ref="ns2:c92e0ed0a2c842da813dec49f685ddc4" minOccurs="0"/>
                <xsd:element ref="ns2:TaxCatchAll" minOccurs="0"/>
                <xsd:element ref="ns2:TaxCatchAllLabel" minOccurs="0"/>
                <xsd:element ref="ns2:_dlc_DocId" minOccurs="0"/>
                <xsd:element ref="ns2:_dlc_DocIdUrl" minOccurs="0"/>
                <xsd:element ref="ns2:_dlc_DocIdPersistId" minOccurs="0"/>
                <xsd:element ref="ns2:Poradi" minOccurs="0"/>
                <xsd:element ref="ns3:d47968764fc346209c610adc5db17357" minOccurs="0"/>
                <xsd:element ref="ns3:f7dad18aaf3d47129cf9abf8b5beb752" minOccurs="0"/>
                <xsd:element ref="ns3:Metodika" minOccurs="0"/>
                <xsd:element ref="ns3:PlatnostOd" minOccurs="0"/>
                <xsd:element ref="ns3:PlatnostDo" minOccurs="0"/>
                <xsd:element ref="ns3:OdkazNaNavod" minOccurs="0"/>
                <xsd:element ref="ns2:idd83c2d92bc4f77beef5be23ddf56e2" minOccurs="0"/>
                <xsd:element ref="ns3:TaxKeywordTaxHTField" minOccurs="0"/>
                <xsd:element ref="ns2:KratkyPopis" minOccurs="0"/>
                <xsd:element ref="ns3:Stáhnout" minOccurs="0"/>
                <xsd:element ref="ns2:o538ae1070924e1a87b0f1b7756573c0" minOccurs="0"/>
                <xsd:element ref="ns3:Metodika2SortTitle" minOccurs="0"/>
                <xsd:element ref="ns3:Metodika2SortIndex" minOccurs="0"/>
                <xsd:element ref="ns3:SharedWithUsers" minOccurs="0"/>
                <xsd:element ref="ns3:SharedWithDetails" minOccurs="0"/>
                <xsd:element ref="ns4:Produkt_x0020__x002d__x0020_nov_x011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7b81d-37ba-449c-953e-9af555098459" elementFormDefault="qualified">
    <xsd:import namespace="http://schemas.microsoft.com/office/2006/documentManagement/types"/>
    <xsd:import namespace="http://schemas.microsoft.com/office/infopath/2007/PartnerControls"/>
    <xsd:element name="c92e0ed0a2c842da813dec49f685ddc4" ma:index="8" ma:taxonomy="true" ma:internalName="c92e0ed0a2c842da813dec49f685ddc4" ma:taxonomyFieldName="KlasifikaceDuvernosti" ma:displayName="Klasifikace důvernosti" ma:indexed="true" ma:default="1;#C1|8f06b5fa-bf75-4f67-b1d4-f86d7b7fe1bd" ma:fieldId="{c92e0ed0-a2c8-42da-813d-ec49f685ddc4}" ma:sspId="6be7efbd-1235-46ec-820f-b4d810fcbcb0" ma:termSetId="07a16602-69dd-4c25-9e20-ddcbb44ac33a" ma:anchorId="00000000-0000-0000-0000-000000000000" ma:open="false" ma:isKeyword="false">
      <xsd:complexType>
        <xsd:sequence>
          <xsd:element ref="pc:Terms" minOccurs="0" maxOccurs="1"/>
        </xsd:sequence>
      </xsd:complexType>
    </xsd:element>
    <xsd:element name="TaxCatchAll" ma:index="9" nillable="true" ma:displayName="Sloupec zachycení celé taxonomie" ma:hidden="true" ma:list="{2daa29ba-6b4b-474c-949b-df7c87dcbbd6}" ma:internalName="TaxCatchAll" ma:showField="CatchAllData" ma:web="72820a5d-14bf-4cb7-9d9a-bee91911e72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Sloupec zachycení celé taxonomie1" ma:hidden="true" ma:list="{2daa29ba-6b4b-474c-949b-df7c87dcbbd6}" ma:internalName="TaxCatchAllLabel" ma:readOnly="true" ma:showField="CatchAllDataLabel" ma:web="72820a5d-14bf-4cb7-9d9a-bee91911e72e">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Hodnota ID dokumentu" ma:description="Hodnota ID dokumentu přiřazená této položce" ma:internalName="_dlc_DocId" ma:readOnly="true">
      <xsd:simpleType>
        <xsd:restriction base="dms:Text"/>
      </xsd:simpleType>
    </xsd:element>
    <xsd:element name="_dlc_DocIdUrl" ma:index="13"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Poradi" ma:index="15" nillable="true" ma:displayName="Pořadí" ma:decimals="0" ma:indexed="true" ma:internalName="Poradi" ma:percentage="FALSE">
      <xsd:simpleType>
        <xsd:restriction base="dms:Number"/>
      </xsd:simpleType>
    </xsd:element>
    <xsd:element name="idd83c2d92bc4f77beef5be23ddf56e2" ma:index="24" ma:taxonomy="true" ma:internalName="idd83c2d92bc4f77beef5be23ddf56e2" ma:taxonomyFieldName="Produkty" ma:displayName="Produkty - původně" ma:default="" ma:fieldId="{2dd83c2d-92bc-4f77-beef-5be23ddf56e2}" ma:taxonomyMulti="true" ma:sspId="6be7efbd-1235-46ec-820f-b4d810fcbcb0" ma:termSetId="45f7810d-fb4d-4fd8-b162-031744e4e1d7" ma:anchorId="00000000-0000-0000-0000-000000000000" ma:open="false" ma:isKeyword="false">
      <xsd:complexType>
        <xsd:sequence>
          <xsd:element ref="pc:Terms" minOccurs="0" maxOccurs="1"/>
        </xsd:sequence>
      </xsd:complexType>
    </xsd:element>
    <xsd:element name="KratkyPopis" ma:index="29" nillable="true" ma:displayName="Krátký popis" ma:internalName="KratkyPopis">
      <xsd:simpleType>
        <xsd:restriction base="dms:Note">
          <xsd:maxLength value="255"/>
        </xsd:restriction>
      </xsd:simpleType>
    </xsd:element>
    <xsd:element name="o538ae1070924e1a87b0f1b7756573c0" ma:index="31" nillable="true" ma:taxonomy="true" ma:internalName="o538ae1070924e1a87b0f1b7756573c0" ma:taxonomyFieldName="Metodika2" ma:displayName="Metodika2" ma:default="" ma:fieldId="{8538ae10-7092-4e1a-87b0-f1b7756573c0}" ma:taxonomyMulti="true" ma:sspId="6be7efbd-1235-46ec-820f-b4d810fcbcb0" ma:termSetId="f656f672-f1aa-4f6d-87c7-1609bc56dc4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820a5d-14bf-4cb7-9d9a-bee91911e72e" elementFormDefault="qualified">
    <xsd:import namespace="http://schemas.microsoft.com/office/2006/documentManagement/types"/>
    <xsd:import namespace="http://schemas.microsoft.com/office/infopath/2007/PartnerControls"/>
    <xsd:element name="d47968764fc346209c610adc5db17357" ma:index="16" ma:taxonomy="true" ma:internalName="d47968764fc346209c610adc5db17357" ma:taxonomyFieldName="Firmy" ma:displayName="Firmy" ma:indexed="true" ma:readOnly="false" ma:default="" ma:fieldId="{d4796876-4fc3-4620-9c61-0adc5db17357}" ma:sspId="6be7efbd-1235-46ec-820f-b4d810fcbcb0" ma:termSetId="4e1c5856-d3de-4506-af77-31ed36753648" ma:anchorId="00000000-0000-0000-0000-000000000000" ma:open="false" ma:isKeyword="false">
      <xsd:complexType>
        <xsd:sequence>
          <xsd:element ref="pc:Terms" minOccurs="0" maxOccurs="1"/>
        </xsd:sequence>
      </xsd:complexType>
    </xsd:element>
    <xsd:element name="f7dad18aaf3d47129cf9abf8b5beb752" ma:index="18" nillable="true" ma:taxonomy="true" ma:internalName="f7dad18aaf3d47129cf9abf8b5beb752" ma:taxonomyFieldName="KategorieProdukty" ma:displayName="Kategorie produkty" ma:indexed="true" ma:default="2;#Žádné|7850ef93-9d46-4724-8aeb-d90a78f10000" ma:fieldId="{f7dad18a-af3d-4712-9cf9-abf8b5beb752}" ma:sspId="6be7efbd-1235-46ec-820f-b4d810fcbcb0" ma:termSetId="1e10b0df-e0aa-453b-9fdd-b8a15812380d" ma:anchorId="00000000-0000-0000-0000-000000000000" ma:open="false" ma:isKeyword="false">
      <xsd:complexType>
        <xsd:sequence>
          <xsd:element ref="pc:Terms" minOccurs="0" maxOccurs="1"/>
        </xsd:sequence>
      </xsd:complexType>
    </xsd:element>
    <xsd:element name="Metodika" ma:index="20" nillable="true" ma:displayName="Metodika" ma:default="0" ma:internalName="Metodika">
      <xsd:simpleType>
        <xsd:restriction base="dms:Boolean"/>
      </xsd:simpleType>
    </xsd:element>
    <xsd:element name="PlatnostOd" ma:index="21" nillable="true" ma:displayName="Platnost od" ma:format="DateOnly" ma:indexed="true" ma:internalName="PlatnostOd">
      <xsd:simpleType>
        <xsd:restriction base="dms:DateTime"/>
      </xsd:simpleType>
    </xsd:element>
    <xsd:element name="PlatnostDo" ma:index="22" nillable="true" ma:displayName="Platnost do" ma:format="DateOnly" ma:indexed="true" ma:internalName="PlatnostDo">
      <xsd:simpleType>
        <xsd:restriction base="dms:DateTime"/>
      </xsd:simpleType>
    </xsd:element>
    <xsd:element name="OdkazNaNavod" ma:index="23" nillable="true" ma:displayName="Odkaz na návod" ma:format="Hyperlink" ma:internalName="OdkazNaNavod">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27" nillable="true" ma:taxonomy="true" ma:internalName="TaxKeywordTaxHTField" ma:taxonomyFieldName="TaxKeyword" ma:displayName="Podniková klíčová slova" ma:fieldId="{23f27201-bee3-471e-b2e7-b64fd8b7ca38}" ma:taxonomyMulti="true" ma:sspId="6be7efbd-1235-46ec-820f-b4d810fcbcb0" ma:termSetId="00000000-0000-0000-0000-000000000000" ma:anchorId="00000000-0000-0000-0000-000000000000" ma:open="true" ma:isKeyword="true">
      <xsd:complexType>
        <xsd:sequence>
          <xsd:element ref="pc:Terms" minOccurs="0" maxOccurs="1"/>
        </xsd:sequence>
      </xsd:complexType>
    </xsd:element>
    <xsd:element name="Stáhnout" ma:index="30" nillable="true" ma:displayName="Stáhnout" ma:description="Odkaz ke stažení dokumentu" ma:format="Hyperlink" ma:internalName="St_x00e1_hnout">
      <xsd:complexType>
        <xsd:complexContent>
          <xsd:extension base="dms:URL">
            <xsd:sequence>
              <xsd:element name="Url" type="dms:ValidUrl" minOccurs="0" nillable="true"/>
              <xsd:element name="Description" type="xsd:string" nillable="true"/>
            </xsd:sequence>
          </xsd:extension>
        </xsd:complexContent>
      </xsd:complexType>
    </xsd:element>
    <xsd:element name="Metodika2SortTitle" ma:index="33" nillable="true" ma:displayName="Metodika2SortTitle" ma:internalName="Metodika2SortTitle">
      <xsd:simpleType>
        <xsd:restriction base="dms:Text">
          <xsd:maxLength value="255"/>
        </xsd:restriction>
      </xsd:simpleType>
    </xsd:element>
    <xsd:element name="Metodika2SortIndex" ma:index="34" nillable="true" ma:displayName="Metodika2SortIndex" ma:internalName="Metodika2SortIndex">
      <xsd:simpleType>
        <xsd:restriction base="dms:Text">
          <xsd:maxLength value="255"/>
        </xsd:restriction>
      </xsd:simpleType>
    </xsd:element>
    <xsd:element name="SharedWithUsers" ma:index="3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dílené s podrobnost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13268e-d524-45cb-8c33-4be28defaa8c" elementFormDefault="qualified">
    <xsd:import namespace="http://schemas.microsoft.com/office/2006/documentManagement/types"/>
    <xsd:import namespace="http://schemas.microsoft.com/office/infopath/2007/PartnerControls"/>
    <xsd:element name="Produkt_x0020__x002d__x0020_nov_x011b_" ma:index="37" nillable="true" ma:displayName="Produkt" ma:internalName="Produkt_x0020__x002d__x0020_nov_x011b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dkazNaNavod xmlns="72820a5d-14bf-4cb7-9d9a-bee91911e72e">
      <Url>https://intranet.mpss.cz/Znalosti/Produktovykatalog/Ostatn%20dokumenty/Kalkula%C4%8Dka%20k%20DP_n%C3%A1vod%20na%20pou%C5%BEit%C3%AD%20od%201.5.2025.docx?d=w2d89cb75f3a44cc4b09ae2d049cfa4c3</Url>
      <Description>odkaz na návod</Description>
    </OdkazNaNavod>
    <Metodika2SortTitle xmlns="72820a5d-14bf-4cb7-9d9a-bee91911e72e">kalkulacka_dp_v11.0.0</Metodika2SortTitle>
    <KratkyPopis xmlns="8d87b81d-37ba-449c-953e-9af555098459">Kalkulacka_DP_v11.0.0</KratkyPopis>
    <Metodika2SortIndex xmlns="72820a5d-14bf-4cb7-9d9a-bee91911e72e" xsi:nil="true"/>
    <TaxKeywordTaxHTField xmlns="72820a5d-14bf-4cb7-9d9a-bee91911e72e">
      <Terms xmlns="http://schemas.microsoft.com/office/infopath/2007/PartnerControls"/>
    </TaxKeywordTaxHTField>
    <Stáhnout xmlns="72820a5d-14bf-4cb7-9d9a-bee91911e72e">
      <Url>https://intranet.mpss.cz/Znalosti/Kalkulacky/Kalkulacky/Kalkulacka_DP_v11.0.0.xlsx</Url>
      <Description>Kalkulacka_DP_v11.0.0</Description>
    </Stáhnout>
    <Produkt_x0020__x002d__x0020_nov_x011b_ xmlns="c413268e-d524-45cb-8c33-4be28defaa8c">Úvěr MP</Produkt_x0020__x002d__x0020_nov_x011b_>
    <idd83c2d92bc4f77beef5be23ddf56e2 xmlns="8d87b81d-37ba-449c-953e-9af555098459">
      <Terms xmlns="http://schemas.microsoft.com/office/infopath/2007/PartnerControls">
        <TermInfo xmlns="http://schemas.microsoft.com/office/infopath/2007/PartnerControls">
          <TermName xmlns="http://schemas.microsoft.com/office/infopath/2007/PartnerControls">Stavební spoření a úvěry MP</TermName>
          <TermId xmlns="http://schemas.microsoft.com/office/infopath/2007/PartnerControls">f7dfdb34-debf-4981-9063-691b9bcc122e</TermId>
        </TermInfo>
      </Terms>
    </idd83c2d92bc4f77beef5be23ddf56e2>
    <Poradi xmlns="8d87b81d-37ba-449c-953e-9af555098459" xsi:nil="true"/>
    <f7dad18aaf3d47129cf9abf8b5beb752 xmlns="72820a5d-14bf-4cb7-9d9a-bee91911e72e">
      <Terms xmlns="http://schemas.microsoft.com/office/infopath/2007/PartnerControls">
        <TermInfo xmlns="http://schemas.microsoft.com/office/infopath/2007/PartnerControls">
          <TermName xmlns="http://schemas.microsoft.com/office/infopath/2007/PartnerControls">2 - Financování bydlení</TermName>
          <TermId xmlns="http://schemas.microsoft.com/office/infopath/2007/PartnerControls">da3d3b07-70fa-4d8f-baf6-5d66fa28704b</TermId>
        </TermInfo>
      </Terms>
    </f7dad18aaf3d47129cf9abf8b5beb752>
    <o538ae1070924e1a87b0f1b7756573c0 xmlns="8d87b81d-37ba-449c-953e-9af555098459">
      <Terms xmlns="http://schemas.microsoft.com/office/infopath/2007/PartnerControls">
        <TermInfo xmlns="http://schemas.microsoft.com/office/infopath/2007/PartnerControls">
          <TermName xmlns="http://schemas.microsoft.com/office/infopath/2007/PartnerControls">Nezajištěný úvěr MP</TermName>
          <TermId xmlns="http://schemas.microsoft.com/office/infopath/2007/PartnerControls">3AD3E5B5-A4D1-4325-B82C-EE5507E3EB51</TermId>
        </TermInfo>
        <TermInfo xmlns="http://schemas.microsoft.com/office/infopath/2007/PartnerControls">
          <TermName xmlns="http://schemas.microsoft.com/office/infopath/2007/PartnerControls">Nový</TermName>
          <TermId xmlns="http://schemas.microsoft.com/office/infopath/2007/PartnerControls">F19AD0F6-5B99-4dd9-9B06-A04DCFDF1EC8</TermId>
        </TermInfo>
        <TermInfo xmlns="http://schemas.microsoft.com/office/infopath/2007/PartnerControls">
          <TermName xmlns="http://schemas.microsoft.com/office/infopath/2007/PartnerControls">PdÚ</TermName>
          <TermId xmlns="http://schemas.microsoft.com/office/infopath/2007/PartnerControls">0B2E423D-B551-4c13-8D72-18466DE3D30B</TermId>
        </TermInfo>
        <TermInfo xmlns="http://schemas.microsoft.com/office/infopath/2007/PartnerControls">
          <TermName xmlns="http://schemas.microsoft.com/office/infopath/2007/PartnerControls">Rychloúvěr</TermName>
          <TermId xmlns="http://schemas.microsoft.com/office/infopath/2007/PartnerControls">0ABC712F-6541-492e-85AE-8D74E2FB2396</TermId>
        </TermInfo>
        <TermInfo xmlns="http://schemas.microsoft.com/office/infopath/2007/PartnerControls">
          <TermName xmlns="http://schemas.microsoft.com/office/infopath/2007/PartnerControls">Klient</TermName>
          <TermId xmlns="http://schemas.microsoft.com/office/infopath/2007/PartnerControls">93816C96-C81D-471e-A2C8-B9E95DA19F36</TermId>
        </TermInfo>
        <TermInfo xmlns="http://schemas.microsoft.com/office/infopath/2007/PartnerControls">
          <TermName xmlns="http://schemas.microsoft.com/office/infopath/2007/PartnerControls">Neklient</TermName>
          <TermId xmlns="http://schemas.microsoft.com/office/infopath/2007/PartnerControls">79ACA436-72CA-4729-8215-E77D55EF7269</TermId>
        </TermInfo>
        <TermInfo xmlns="http://schemas.microsoft.com/office/infopath/2007/PartnerControls">
          <TermName xmlns="http://schemas.microsoft.com/office/infopath/2007/PartnerControls">občan</TermName>
          <TermId xmlns="http://schemas.microsoft.com/office/infopath/2007/PartnerControls">CB68B809-060D-4594-8C46-00C267367428</TermId>
        </TermInfo>
        <TermInfo xmlns="http://schemas.microsoft.com/office/infopath/2007/PartnerControls">
          <TermName xmlns="http://schemas.microsoft.com/office/infopath/2007/PartnerControls">cizinec</TermName>
          <TermId xmlns="http://schemas.microsoft.com/office/infopath/2007/PartnerControls">9BA12859-6D7D-4064-B13E-1F5353C495C8</TermId>
        </TermInfo>
        <TermInfo xmlns="http://schemas.microsoft.com/office/infopath/2007/PartnerControls">
          <TermName xmlns="http://schemas.microsoft.com/office/infopath/2007/PartnerControls">dospělý</TermName>
          <TermId xmlns="http://schemas.microsoft.com/office/infopath/2007/PartnerControls">3051CA36-D429-48c8-BDCA-3B286156193C</TermId>
        </TermInfo>
        <TermInfo xmlns="http://schemas.microsoft.com/office/infopath/2007/PartnerControls">
          <TermName xmlns="http://schemas.microsoft.com/office/infopath/2007/PartnerControls">nezletilý</TermName>
          <TermId xmlns="http://schemas.microsoft.com/office/infopath/2007/PartnerControls">89BBA726-E5E8-4661-94DF-E4D2A9399C8E</TermId>
        </TermInfo>
        <TermInfo xmlns="http://schemas.microsoft.com/office/infopath/2007/PartnerControls">
          <TermName xmlns="http://schemas.microsoft.com/office/infopath/2007/PartnerControls">OSVČ</TermName>
          <TermId xmlns="http://schemas.microsoft.com/office/infopath/2007/PartnerControls">62B1DFB1-6C0E-4a8e-8218-BAEFF25292A5</TermId>
        </TermInfo>
        <TermInfo xmlns="http://schemas.microsoft.com/office/infopath/2007/PartnerControls">
          <TermName xmlns="http://schemas.microsoft.com/office/infopath/2007/PartnerControls">zaměstnaný</TermName>
          <TermId xmlns="http://schemas.microsoft.com/office/infopath/2007/PartnerControls">D73A27DE-6B76-4662-8DE3-E6FC223728E4</TermId>
        </TermInfo>
        <TermInfo xmlns="http://schemas.microsoft.com/office/infopath/2007/PartnerControls">
          <TermName xmlns="http://schemas.microsoft.com/office/infopath/2007/PartnerControls">ostatní příjmy</TermName>
          <TermId xmlns="http://schemas.microsoft.com/office/infopath/2007/PartnerControls">FBF886BD-4E9A-4288-B64D-B57BF214E427</TermId>
        </TermInfo>
        <TermInfo xmlns="http://schemas.microsoft.com/office/infopath/2007/PartnerControls">
          <TermName xmlns="http://schemas.microsoft.com/office/infopath/2007/PartnerControls">příjmy v ČR</TermName>
          <TermId xmlns="http://schemas.microsoft.com/office/infopath/2007/PartnerControls">947FDDFE-6FC0-472a-96A3-A084E6B7159D</TermId>
        </TermInfo>
        <TermInfo xmlns="http://schemas.microsoft.com/office/infopath/2007/PartnerControls">
          <TermName xmlns="http://schemas.microsoft.com/office/infopath/2007/PartnerControls">příjmy mimo ČR</TermName>
          <TermId xmlns="http://schemas.microsoft.com/office/infopath/2007/PartnerControls">6CA00B16-C051-426d-94D9-8B4F88B9D8E1</TermId>
        </TermInfo>
        <TermInfo xmlns="http://schemas.microsoft.com/office/infopath/2007/PartnerControls">
          <TermName xmlns="http://schemas.microsoft.com/office/infopath/2007/PartnerControls">nad 5.000.000</TermName>
          <TermId xmlns="http://schemas.microsoft.com/office/infopath/2007/PartnerControls">B3A775E1-12AB-403e-9C94-895A7359CCDA</TermId>
        </TermInfo>
        <TermInfo xmlns="http://schemas.microsoft.com/office/infopath/2007/PartnerControls">
          <TermName xmlns="http://schemas.microsoft.com/office/infopath/2007/PartnerControls">do 5.000.000</TermName>
          <TermId xmlns="http://schemas.microsoft.com/office/infopath/2007/PartnerControls">30D3AD32-BB76-4437-BA1F-9F1BC52C029E</TermId>
        </TermInfo>
        <TermInfo xmlns="http://schemas.microsoft.com/office/infopath/2007/PartnerControls">
          <TermName xmlns="http://schemas.microsoft.com/office/infopath/2007/PartnerControls">Výstavba</TermName>
          <TermId xmlns="http://schemas.microsoft.com/office/infopath/2007/PartnerControls">4E53831B-BFB6-4165-BEE1-8B892574BF83</TermId>
        </TermInfo>
        <TermInfo xmlns="http://schemas.microsoft.com/office/infopath/2007/PartnerControls">
          <TermName xmlns="http://schemas.microsoft.com/office/infopath/2007/PartnerControls">Rekonstrukce</TermName>
          <TermId xmlns="http://schemas.microsoft.com/office/infopath/2007/PartnerControls">B5A14EA0-D370-4653-A8CA-6340DBA141EC</TermId>
        </TermInfo>
        <TermInfo xmlns="http://schemas.microsoft.com/office/infopath/2007/PartnerControls">
          <TermName xmlns="http://schemas.microsoft.com/office/infopath/2007/PartnerControls">Koupě</TermName>
          <TermId xmlns="http://schemas.microsoft.com/office/infopath/2007/PartnerControls">155F5786-9700-4e1d-BAAF-E2D6FC3484C8</TermId>
        </TermInfo>
        <TermInfo xmlns="http://schemas.microsoft.com/office/infopath/2007/PartnerControls">
          <TermName xmlns="http://schemas.microsoft.com/office/infopath/2007/PartnerControls">Refinancování</TermName>
          <TermId xmlns="http://schemas.microsoft.com/office/infopath/2007/PartnerControls">3841753C-AE50-4509-8E8F-BD035CC04ABE</TermId>
        </TermInfo>
        <TermInfo xmlns="http://schemas.microsoft.com/office/infopath/2007/PartnerControls">
          <TermName xmlns="http://schemas.microsoft.com/office/infopath/2007/PartnerControls">Jiný</TermName>
          <TermId xmlns="http://schemas.microsoft.com/office/infopath/2007/PartnerControls">B6BF1F1E-D32A-4870-BE5D-35AEDBE54DAE</TermId>
        </TermInfo>
        <TermInfo xmlns="http://schemas.microsoft.com/office/infopath/2007/PartnerControls">
          <TermName xmlns="http://schemas.microsoft.com/office/infopath/2007/PartnerControls">Průběh</TermName>
          <TermId xmlns="http://schemas.microsoft.com/office/infopath/2007/PartnerControls">830BD2E8-018B-4376-B20F-95AD93CF3D25</TermId>
        </TermInfo>
        <TermInfo xmlns="http://schemas.microsoft.com/office/infopath/2007/PartnerControls">
          <TermName xmlns="http://schemas.microsoft.com/office/infopath/2007/PartnerControls">změna účastníka</TermName>
          <TermId xmlns="http://schemas.microsoft.com/office/infopath/2007/PartnerControls">95A14E91-CCC8-45d0-B628-C304E2D19107</TermId>
        </TermInfo>
        <TermInfo xmlns="http://schemas.microsoft.com/office/infopath/2007/PartnerControls">
          <TermName xmlns="http://schemas.microsoft.com/office/infopath/2007/PartnerControls">změna parametrů</TermName>
          <TermId xmlns="http://schemas.microsoft.com/office/infopath/2007/PartnerControls">3B22BCF9-B959-4e89-9620-1ACAA593A3DA</TermId>
        </TermInfo>
        <TermInfo xmlns="http://schemas.microsoft.com/office/infopath/2007/PartnerControls">
          <TermName xmlns="http://schemas.microsoft.com/office/infopath/2007/PartnerControls">čerpání</TermName>
          <TermId xmlns="http://schemas.microsoft.com/office/infopath/2007/PartnerControls">B3F3C78F-380F-4b93-999D-DAF9B7ACA51E</TermId>
        </TermInfo>
        <TermInfo xmlns="http://schemas.microsoft.com/office/infopath/2007/PartnerControls">
          <TermName xmlns="http://schemas.microsoft.com/office/infopath/2007/PartnerControls">Hypoúvěr</TermName>
          <TermId xmlns="http://schemas.microsoft.com/office/infopath/2007/PartnerControls">D1E903E7-A5C0-4f9d-B62C-33AC5FD80476</TermId>
        </TermInfo>
        <TermInfo xmlns="http://schemas.microsoft.com/office/infopath/2007/PartnerControls">
          <TermName xmlns="http://schemas.microsoft.com/office/infopath/2007/PartnerControls">zajištění ke schválení</TermName>
          <TermId xmlns="http://schemas.microsoft.com/office/infopath/2007/PartnerControls">F02FA2E0-BDEF-4056-8B65-D8C0586CCE61</TermId>
        </TermInfo>
        <TermInfo xmlns="http://schemas.microsoft.com/office/infopath/2007/PartnerControls">
          <TermName xmlns="http://schemas.microsoft.com/office/infopath/2007/PartnerControls">zajištění po čerpání (předhypo)</TermName>
          <TermId xmlns="http://schemas.microsoft.com/office/infopath/2007/PartnerControls">1BD504C8-8540-4950-BBB2-52B668BFFEDA</TermId>
        </TermInfo>
      </Terms>
    </o538ae1070924e1a87b0f1b7756573c0>
    <TaxCatchAll xmlns="8d87b81d-37ba-449c-953e-9af555098459">
      <Value>256</Value>
      <Value>255</Value>
      <Value>251</Value>
      <Value>249</Value>
      <Value>248</Value>
      <Value>247</Value>
      <Value>313</Value>
      <Value>245</Value>
      <Value>244</Value>
      <Value>243</Value>
      <Value>242</Value>
      <Value>241</Value>
      <Value>240</Value>
      <Value>239</Value>
      <Value>238</Value>
      <Value>237</Value>
      <Value>235</Value>
      <Value>234</Value>
      <Value>233</Value>
      <Value>232</Value>
      <Value>231</Value>
      <Value>230</Value>
      <Value>229</Value>
      <Value>227</Value>
      <Value>226</Value>
      <Value>225</Value>
      <Value>224</Value>
      <Value>223</Value>
      <Value>222</Value>
      <Value>32</Value>
      <Value>18</Value>
      <Value>246</Value>
      <Value>1</Value>
    </TaxCatchAll>
    <c92e0ed0a2c842da813dec49f685ddc4 xmlns="8d87b81d-37ba-449c-953e-9af555098459">
      <Terms xmlns="http://schemas.microsoft.com/office/infopath/2007/PartnerControls">
        <TermInfo xmlns="http://schemas.microsoft.com/office/infopath/2007/PartnerControls">
          <TermName xmlns="http://schemas.microsoft.com/office/infopath/2007/PartnerControls">C1</TermName>
          <TermId xmlns="http://schemas.microsoft.com/office/infopath/2007/PartnerControls">8f06b5fa-bf75-4f67-b1d4-f86d7b7fe1bd</TermId>
        </TermInfo>
      </Terms>
    </c92e0ed0a2c842da813dec49f685ddc4>
    <Metodika xmlns="72820a5d-14bf-4cb7-9d9a-bee91911e72e">false</Metodika>
    <PlatnostDo xmlns="72820a5d-14bf-4cb7-9d9a-bee91911e72e">2099-12-30T23:00:00+00:00</PlatnostDo>
    <d47968764fc346209c610adc5db17357 xmlns="72820a5d-14bf-4cb7-9d9a-bee91911e72e">
      <Terms xmlns="http://schemas.microsoft.com/office/infopath/2007/PartnerControls">
        <TermInfo xmlns="http://schemas.microsoft.com/office/infopath/2007/PartnerControls">
          <TermName xmlns="http://schemas.microsoft.com/office/infopath/2007/PartnerControls">Modrá pyramida</TermName>
          <TermId xmlns="http://schemas.microsoft.com/office/infopath/2007/PartnerControls">bacb51b1-3cbd-4ff6-b374-ca201b1de24a</TermId>
        </TermInfo>
      </Terms>
    </d47968764fc346209c610adc5db17357>
    <PlatnostOd xmlns="72820a5d-14bf-4cb7-9d9a-bee91911e72e">2025-04-24T22:00:00+00:00</PlatnostOd>
    <_dlc_DocId xmlns="8d87b81d-37ba-449c-953e-9af555098459">DWHD2CWDYEP6-1718008799-227</_dlc_DocId>
    <_dlc_DocIdUrl xmlns="8d87b81d-37ba-449c-953e-9af555098459">
      <Url>https://intranet.mpss.cz/Znalosti/Kalkulacky/_layouts/15/DocIdRedir.aspx?ID=DWHD2CWDYEP6-1718008799-227</Url>
      <Description>DWHD2CWDYEP6-1718008799-227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mso-contentType ?>
<FormUrls xmlns="http://schemas.microsoft.com/sharepoint/v3/contenttype/forms/url">
  <Display>_layouts/15/SD.MPSS.Metodika2.Upload2/Metodika2DisplayForm.aspx</Display>
  <Edit>_layouts/15/SD.MPSS.Metodika2.Upload2/Metodika2EditForm.aspx</Edit>
</FormUrls>
</file>

<file path=customXml/itemProps1.xml><?xml version="1.0" encoding="utf-8"?>
<ds:datastoreItem xmlns:ds="http://schemas.openxmlformats.org/officeDocument/2006/customXml" ds:itemID="{420A9AF1-2E0E-45D6-B9F2-B9ED158AE13E}">
  <ds:schemaRefs>
    <ds:schemaRef ds:uri="Microsoft.SharePoint.Taxonomy.ContentTypeSync"/>
  </ds:schemaRefs>
</ds:datastoreItem>
</file>

<file path=customXml/itemProps2.xml><?xml version="1.0" encoding="utf-8"?>
<ds:datastoreItem xmlns:ds="http://schemas.openxmlformats.org/officeDocument/2006/customXml" ds:itemID="{7A183853-9054-4DCF-8D34-77D04C5DB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7b81d-37ba-449c-953e-9af555098459"/>
    <ds:schemaRef ds:uri="72820a5d-14bf-4cb7-9d9a-bee91911e72e"/>
    <ds:schemaRef ds:uri="c413268e-d524-45cb-8c33-4be28defa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1C43AE-FC58-417E-9C93-F9CC6BB26EF8}">
  <ds:schemaRefs>
    <ds:schemaRef ds:uri="http://schemas.microsoft.com/office/2006/metadata/properties"/>
    <ds:schemaRef ds:uri="http://schemas.microsoft.com/office/infopath/2007/PartnerControls"/>
    <ds:schemaRef ds:uri="72820a5d-14bf-4cb7-9d9a-bee91911e72e"/>
    <ds:schemaRef ds:uri="8d87b81d-37ba-449c-953e-9af555098459"/>
    <ds:schemaRef ds:uri="c413268e-d524-45cb-8c33-4be28defaa8c"/>
  </ds:schemaRefs>
</ds:datastoreItem>
</file>

<file path=customXml/itemProps4.xml><?xml version="1.0" encoding="utf-8"?>
<ds:datastoreItem xmlns:ds="http://schemas.openxmlformats.org/officeDocument/2006/customXml" ds:itemID="{A6619727-CCFA-420B-9FE7-784DC6C6F031}">
  <ds:schemaRefs>
    <ds:schemaRef ds:uri="http://schemas.microsoft.com/sharepoint/v3/contenttype/forms"/>
  </ds:schemaRefs>
</ds:datastoreItem>
</file>

<file path=customXml/itemProps5.xml><?xml version="1.0" encoding="utf-8"?>
<ds:datastoreItem xmlns:ds="http://schemas.openxmlformats.org/officeDocument/2006/customXml" ds:itemID="{91D39CA5-8990-42E7-9590-5ED8E8E568F9}">
  <ds:schemaRefs>
    <ds:schemaRef ds:uri="http://schemas.microsoft.com/sharepoint/events"/>
  </ds:schemaRefs>
</ds:datastoreItem>
</file>

<file path=customXml/itemProps6.xml><?xml version="1.0" encoding="utf-8"?>
<ds:datastoreItem xmlns:ds="http://schemas.openxmlformats.org/officeDocument/2006/customXml" ds:itemID="{5E2612EF-EE0B-4C2C-9276-B921074D4570}">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42</vt:i4>
      </vt:variant>
    </vt:vector>
  </HeadingPairs>
  <TitlesOfParts>
    <vt:vector size="49" baseType="lpstr">
      <vt:lpstr>vstupni_data</vt:lpstr>
      <vt:lpstr>SS</vt:lpstr>
      <vt:lpstr>HI</vt:lpstr>
      <vt:lpstr>Dan</vt:lpstr>
      <vt:lpstr>cinnosti</vt:lpstr>
      <vt:lpstr>prijmy</vt:lpstr>
      <vt:lpstr>tisk</vt:lpstr>
      <vt:lpstr>_101</vt:lpstr>
      <vt:lpstr>_102</vt:lpstr>
      <vt:lpstr>_102mod</vt:lpstr>
      <vt:lpstr>_104</vt:lpstr>
      <vt:lpstr>_104mod</vt:lpstr>
      <vt:lpstr>_105</vt:lpstr>
      <vt:lpstr>_106</vt:lpstr>
      <vt:lpstr>_107</vt:lpstr>
      <vt:lpstr>_108</vt:lpstr>
      <vt:lpstr>_109</vt:lpstr>
      <vt:lpstr>_110</vt:lpstr>
      <vt:lpstr>_31</vt:lpstr>
      <vt:lpstr>_37</vt:lpstr>
      <vt:lpstr>_38</vt:lpstr>
      <vt:lpstr>_39</vt:lpstr>
      <vt:lpstr>_44</vt:lpstr>
      <vt:lpstr>_46</vt:lpstr>
      <vt:lpstr>_47</vt:lpstr>
      <vt:lpstr>_48</vt:lpstr>
      <vt:lpstr>_49</vt:lpstr>
      <vt:lpstr>_50</vt:lpstr>
      <vt:lpstr>_51</vt:lpstr>
      <vt:lpstr>_52</vt:lpstr>
      <vt:lpstr>_52a</vt:lpstr>
      <vt:lpstr>_53</vt:lpstr>
      <vt:lpstr>_64</vt:lpstr>
      <vt:lpstr>_65a</vt:lpstr>
      <vt:lpstr>_65b</vt:lpstr>
      <vt:lpstr>_66</vt:lpstr>
      <vt:lpstr>_67</vt:lpstr>
      <vt:lpstr>_68</vt:lpstr>
      <vt:lpstr>_69</vt:lpstr>
      <vt:lpstr>_69a</vt:lpstr>
      <vt:lpstr>_69b</vt:lpstr>
      <vt:lpstr>_72</vt:lpstr>
      <vt:lpstr>_OP1</vt:lpstr>
      <vt:lpstr>_OP1_</vt:lpstr>
      <vt:lpstr>_PZP1</vt:lpstr>
      <vt:lpstr>_PZP1_</vt:lpstr>
      <vt:lpstr>_PZZ1</vt:lpstr>
      <vt:lpstr>_PZZ1_</vt:lpstr>
      <vt:lpstr>prumer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Kalkulacka_DP_v11.0.0</dc:title>
  <dc:subject/>
  <dc:creator>Holub Miroslav</dc:creator>
  <cp:keywords/>
  <dc:description/>
  <cp:lastModifiedBy>Rehova Lenka</cp:lastModifiedBy>
  <cp:revision/>
  <dcterms:created xsi:type="dcterms:W3CDTF">2015-06-05T18:19:34Z</dcterms:created>
  <dcterms:modified xsi:type="dcterms:W3CDTF">2025-04-30T10:11:52Z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0x010100E9B21ABB10FC3C409AE69C687E14E6B000D7E14EC6F773E44297C3BD8255B9800100F40B6EDB6894B04A92208BDB5F4547D9</vt:lpwstr>
  </property>
  <property fmtid="{D5CDD505-2E9C-101B-9397-08002B2CF9AE}" pid="3" name="_dlc_DocIdItemGuid">
    <vt:lpwstr>9cbafa6a-8faa-4d67-8065-ff943bc10b80</vt:lpwstr>
  </property>
  <property fmtid="{D5CDD505-2E9C-101B-9397-08002B2CF9AE}" pid="4" name="TaxKeyword">
    <vt:lpwstr/>
  </property>
  <property fmtid="{D5CDD505-2E9C-101B-9397-08002B2CF9AE}" pid="5" name="Metodika2">
    <vt:lpwstr>229;#Nezajištěný úvěr MP|3AD3E5B5-A4D1-4325-B82C-EE5507E3EB51;#223;#Nový|F19AD0F6-5B99-4dd9-9B06-A04DCFDF1EC8;#248;#PdÚ|0B2E423D-B551-4c13-8D72-18466DE3D30B;#249;#Rychloúvěr|0ABC712F-6541-492e-85AE-8D74E2FB2396;#226;#Klient|93816C96-C81D-471e-A2C8-B9E95DA19F36;#230;#Neklient|79ACA436-72CA-4729-8215-E77D55EF7269;#224;#občan|CB68B809-060D-4594-8C46-00C267367428;#231;#cizinec|9BA12859-6D7D-4064-B13E-1F5353C495C8;#232;#dospělý|3051CA36-D429-48c8-BDCA-3B286156193C;#233;#nezletilý|89BBA726-E5E8-4661-94DF-E4D2A9399C8E;#225;#OSVČ|62B1DFB1-6C0E-4a8e-8218-BAEFF25292A5;#237;#zaměstnaný|D73A27DE-6B76-4662-8DE3-E6FC223728E4;#238;#ostatní příjmy|FBF886BD-4E9A-4288-B64D-B57BF214E427;#239;#příjmy v ČR|947FDDFE-6FC0-472a-96A3-A084E6B7159D;#240;#příjmy mimo ČR|6CA00B16-C051-426d-94D9-8B4F88B9D8E1;#242;#nad 5.000.000|B3A775E1-12AB-403e-9C94-895A7359CCDA;#241;#do 5.000.000|30D3AD32-BB76-4437-BA1F-9F1BC52C029E;#245;#Výstavba|4E53831B-BFB6-4165-BEE1-8B892574BF83;#243;#Rekonstrukce|B5A14EA0-D370-4653-A8CA-6340DBA141EC;#244;#Koupě|155F5786-9700-4e1d-BAAF-E2D6FC3484C8;#246;#Refinancování|3841753C-AE50-4509-8E8F-BD035CC04ABE;#247;#Jiný|B6BF1F1E-D32A-4870-BE5D-35AEDBE54DAE;#227;#Průběh|830BD2E8-018B-4376-B20F-95AD93CF3D25;#256;#změna účastníka|95A14E91-CCC8-45d0-B628-C304E2D19107;#255;#změna parametrů|3B22BCF9-B959-4e89-9620-1ACAA593A3DA;#251;#čerpání|B3F3C78F-380F-4b93-999D-DAF9B7ACA51E;#222;#Hypoúvěr|D1E903E7-A5C0-4f9d-B62C-33AC5FD80476;#234;#zajištění ke schválení|F02FA2E0-BDEF-4056-8B65-D8C0586CCE61;#235;#zajištění po čerpání (předhypo)|1BD504C8-8540-4950-BBB2-52B668BFFEDA</vt:lpwstr>
  </property>
  <property fmtid="{D5CDD505-2E9C-101B-9397-08002B2CF9AE}" pid="6" name="KategorieProdukty">
    <vt:lpwstr>32;#2 - Financování bydlení|da3d3b07-70fa-4d8f-baf6-5d66fa28704b</vt:lpwstr>
  </property>
  <property fmtid="{D5CDD505-2E9C-101B-9397-08002B2CF9AE}" pid="7" name="KlasifikaceDuvernosti">
    <vt:lpwstr>1;#C1|8f06b5fa-bf75-4f67-b1d4-f86d7b7fe1bd</vt:lpwstr>
  </property>
  <property fmtid="{D5CDD505-2E9C-101B-9397-08002B2CF9AE}" pid="8" name="Produkty">
    <vt:lpwstr>313;#Stavební spoření a úvěry MP|f7dfdb34-debf-4981-9063-691b9bcc122e</vt:lpwstr>
  </property>
  <property fmtid="{D5CDD505-2E9C-101B-9397-08002B2CF9AE}" pid="9" name="Firmy">
    <vt:lpwstr>18;#Modrá pyramida|bacb51b1-3cbd-4ff6-b374-ca201b1de24a</vt:lpwstr>
  </property>
  <property fmtid="{D5CDD505-2E9C-101B-9397-08002B2CF9AE}" pid="10" name="MSIP_Label_076d9757-80ae-4c87-b4d7-9ffa7a0710d0_Enabled">
    <vt:lpwstr>true</vt:lpwstr>
  </property>
  <property fmtid="{D5CDD505-2E9C-101B-9397-08002B2CF9AE}" pid="11" name="MSIP_Label_076d9757-80ae-4c87-b4d7-9ffa7a0710d0_SetDate">
    <vt:lpwstr>2025-04-30T10:11:51Z</vt:lpwstr>
  </property>
  <property fmtid="{D5CDD505-2E9C-101B-9397-08002B2CF9AE}" pid="12" name="MSIP_Label_076d9757-80ae-4c87-b4d7-9ffa7a0710d0_Method">
    <vt:lpwstr>Standard</vt:lpwstr>
  </property>
  <property fmtid="{D5CDD505-2E9C-101B-9397-08002B2CF9AE}" pid="13" name="MSIP_Label_076d9757-80ae-4c87-b4d7-9ffa7a0710d0_Name">
    <vt:lpwstr>076d9757-80ae-4c87-b4d7-9ffa7a0710d0</vt:lpwstr>
  </property>
  <property fmtid="{D5CDD505-2E9C-101B-9397-08002B2CF9AE}" pid="14" name="MSIP_Label_076d9757-80ae-4c87-b4d7-9ffa7a0710d0_SiteId">
    <vt:lpwstr>c79e7c80-cff5-4503-b468-3702cea89272</vt:lpwstr>
  </property>
  <property fmtid="{D5CDD505-2E9C-101B-9397-08002B2CF9AE}" pid="15" name="MSIP_Label_076d9757-80ae-4c87-b4d7-9ffa7a0710d0_ActionId">
    <vt:lpwstr>b71e0565-3ba5-43e3-a801-e0c641b29619</vt:lpwstr>
  </property>
  <property fmtid="{D5CDD505-2E9C-101B-9397-08002B2CF9AE}" pid="16" name="MSIP_Label_076d9757-80ae-4c87-b4d7-9ffa7a0710d0_ContentBits">
    <vt:lpwstr>0</vt:lpwstr>
  </property>
  <property fmtid="{D5CDD505-2E9C-101B-9397-08002B2CF9AE}" pid="17" name="Kod_Duvernosti">
    <vt:lpwstr>KB_C1_INTERNAL_992521</vt:lpwstr>
  </property>
</Properties>
</file>